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drawings/drawing3.xml" ContentType="application/vnd.openxmlformats-officedocument.drawing+xml"/>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drawings/drawing4.xml" ContentType="application/vnd.openxmlformats-officedocument.drawing+xml"/>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comments2.xml" ContentType="application/vnd.openxmlformats-officedocument.spreadsheetml.comments+xml"/>
  <Override PartName="/xl/drawings/drawing5.xml" ContentType="application/vnd.openxmlformats-officedocument.drawing+xml"/>
  <Override PartName="/xl/activeX/activeX33.xml" ContentType="application/vnd.ms-office.activeX+xml"/>
  <Override PartName="/xl/activeX/activeX33.bin" ContentType="application/vnd.ms-office.activeX"/>
  <Override PartName="/xl/comments3.xml" ContentType="application/vnd.openxmlformats-officedocument.spreadsheetml.comments+xml"/>
  <Override PartName="/xl/drawings/drawing6.xml" ContentType="application/vnd.openxmlformats-officedocument.drawing+xml"/>
  <Override PartName="/xl/activeX/activeX34.xml" ContentType="application/vnd.ms-office.activeX+xml"/>
  <Override PartName="/xl/activeX/activeX34.bin" ContentType="application/vnd.ms-office.activeX"/>
  <Override PartName="/xl/drawings/drawing7.xml" ContentType="application/vnd.openxmlformats-officedocument.drawing+xml"/>
  <Override PartName="/xl/activeX/activeX35.xml" ContentType="application/vnd.ms-office.activeX+xml"/>
  <Override PartName="/xl/activeX/activeX35.bin" ContentType="application/vnd.ms-office.activeX"/>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0490" windowHeight="7230" tabRatio="692" firstSheet="2" activeTab="2"/>
  </bookViews>
  <sheets>
    <sheet name="Basic" sheetId="22" state="hidden" r:id="rId1"/>
    <sheet name="Instructions" sheetId="24" state="hidden" r:id="rId2"/>
    <sheet name="Welcome" sheetId="8" r:id="rId3"/>
    <sheet name="Summary" sheetId="5" state="hidden" r:id="rId4"/>
    <sheet name="Inputs" sheetId="6" state="hidden" r:id="rId5"/>
    <sheet name="Rations" sheetId="18" state="hidden" r:id="rId6"/>
    <sheet name="FeedValues" sheetId="13" state="hidden" r:id="rId7"/>
    <sheet name="Graphs" sheetId="26" state="hidden" r:id="rId8"/>
    <sheet name="Calculations" sheetId="21" state="hidden" r:id="rId9"/>
    <sheet name="ProfitLoss" sheetId="9" state="hidden" r:id="rId10"/>
    <sheet name="DataEntryForm" sheetId="19" state="hidden" r:id="rId11"/>
    <sheet name="PrintReports" sheetId="20" state="hidden" r:id="rId12"/>
    <sheet name="Sheet1" sheetId="27" r:id="rId13"/>
  </sheets>
  <definedNames>
    <definedName name="Operating_Instructions">"Object 33"</definedName>
    <definedName name="_xlnm.Print_Area" localSheetId="0">Basic!$A$1:$M$50</definedName>
    <definedName name="_xlnm.Print_Area" localSheetId="10">DataEntryForm!$N$1:$Y$46</definedName>
    <definedName name="_xlnm.Print_Area" localSheetId="6">FeedValues!$A$1:$P$40</definedName>
    <definedName name="_xlnm.Print_Area" localSheetId="4">Inputs!$A$1:$J$40</definedName>
    <definedName name="_xlnm.Print_Area" localSheetId="1">Instructions!$A$175:$T$226</definedName>
    <definedName name="_xlnm.Print_Area" localSheetId="11">PrintReports!$A$1:$Q$53</definedName>
    <definedName name="_xlnm.Print_Area" localSheetId="9">ProfitLoss!$A$1:$G$66</definedName>
    <definedName name="_xlnm.Print_Area" localSheetId="5">Rations!$A$1:$O$43</definedName>
    <definedName name="_xlnm.Print_Area" localSheetId="3">Summary!$A$4:$G$17</definedName>
    <definedName name="_xlnm.Print_Area" localSheetId="2">Welcome!$A$1:$M$29</definedName>
  </definedNames>
  <calcPr calcId="145621"/>
</workbook>
</file>

<file path=xl/calcChain.xml><?xml version="1.0" encoding="utf-8"?>
<calcChain xmlns="http://schemas.openxmlformats.org/spreadsheetml/2006/main">
  <c r="B3" i="20" l="1"/>
  <c r="C4" i="20"/>
  <c r="C5" i="20"/>
  <c r="C6" i="20"/>
  <c r="C7" i="20"/>
  <c r="J7" i="20"/>
  <c r="C8" i="20"/>
  <c r="J8" i="20"/>
  <c r="C9" i="20"/>
  <c r="C10" i="20"/>
  <c r="C11" i="20"/>
  <c r="C12" i="20"/>
  <c r="C13" i="20"/>
  <c r="C14" i="20"/>
  <c r="C15" i="20"/>
  <c r="C16" i="20"/>
  <c r="D16" i="20"/>
  <c r="A18" i="20"/>
  <c r="A19" i="20"/>
  <c r="B19" i="20"/>
  <c r="A20" i="20"/>
  <c r="B20" i="20"/>
  <c r="A21" i="20"/>
  <c r="B21" i="20"/>
  <c r="A22" i="20"/>
  <c r="B22" i="20"/>
  <c r="C6" i="9"/>
  <c r="U6" i="9"/>
  <c r="C7" i="9"/>
  <c r="C8" i="9"/>
  <c r="C15" i="9"/>
  <c r="AE8" i="9"/>
  <c r="AE10" i="9"/>
  <c r="C18" i="9"/>
  <c r="E18" i="9"/>
  <c r="D18" i="9"/>
  <c r="C19" i="9"/>
  <c r="E19" i="9"/>
  <c r="D19" i="9"/>
  <c r="AB20" i="9"/>
  <c r="AC20" i="9"/>
  <c r="C24" i="9"/>
  <c r="C31" i="9"/>
  <c r="E31" i="9"/>
  <c r="D24" i="9"/>
  <c r="B27" i="9"/>
  <c r="D27" i="9"/>
  <c r="B28" i="9"/>
  <c r="D28" i="9"/>
  <c r="D29" i="9"/>
  <c r="D30" i="9"/>
  <c r="Z30" i="9"/>
  <c r="AA30" i="9"/>
  <c r="B31" i="9"/>
  <c r="D31" i="9"/>
  <c r="Z31" i="9"/>
  <c r="AB31" i="9"/>
  <c r="B32" i="9"/>
  <c r="D32" i="9"/>
  <c r="B33" i="9"/>
  <c r="D33" i="9"/>
  <c r="B34" i="9"/>
  <c r="D34" i="9"/>
  <c r="Z34" i="9"/>
  <c r="AA34" i="9"/>
  <c r="AA37" i="9"/>
  <c r="D14" i="9"/>
  <c r="E14" i="9"/>
  <c r="B35" i="9"/>
  <c r="C35" i="9"/>
  <c r="E35" i="9"/>
  <c r="D35" i="9"/>
  <c r="Z35" i="9"/>
  <c r="AB35" i="9"/>
  <c r="B36" i="9"/>
  <c r="D36" i="9"/>
  <c r="Z36" i="9"/>
  <c r="AB36" i="9"/>
  <c r="B37" i="9"/>
  <c r="C37" i="9"/>
  <c r="E37" i="9"/>
  <c r="D37" i="9"/>
  <c r="B38" i="9"/>
  <c r="C38" i="9"/>
  <c r="E38" i="9"/>
  <c r="D38" i="9"/>
  <c r="D39" i="9"/>
  <c r="D40" i="9"/>
  <c r="B41" i="9"/>
  <c r="B42" i="9"/>
  <c r="C42" i="9"/>
  <c r="E42" i="9"/>
  <c r="D42" i="9"/>
  <c r="B43" i="9"/>
  <c r="D43" i="9"/>
  <c r="Z43" i="9"/>
  <c r="AA43" i="9"/>
  <c r="D48" i="9"/>
  <c r="D54" i="9"/>
  <c r="E55" i="9"/>
  <c r="D59" i="9"/>
  <c r="B1" i="21"/>
  <c r="C1" i="21"/>
  <c r="D1" i="21"/>
  <c r="E1" i="21"/>
  <c r="F1" i="21"/>
  <c r="G1" i="21"/>
  <c r="H1" i="21"/>
  <c r="I1" i="21"/>
  <c r="J1" i="21"/>
  <c r="K1" i="21"/>
  <c r="L1" i="21"/>
  <c r="M1" i="21"/>
  <c r="N1" i="21"/>
  <c r="O1" i="21"/>
  <c r="P1" i="21"/>
  <c r="Q1" i="21"/>
  <c r="R1" i="21"/>
  <c r="S1" i="21"/>
  <c r="T1" i="21"/>
  <c r="U1" i="21"/>
  <c r="V1" i="21"/>
  <c r="W1" i="21"/>
  <c r="X1" i="21"/>
  <c r="X11" i="21"/>
  <c r="Y1" i="21"/>
  <c r="Z1" i="21"/>
  <c r="AA1" i="21"/>
  <c r="AB1" i="21"/>
  <c r="AC1" i="21"/>
  <c r="AD1" i="21"/>
  <c r="AE1" i="21"/>
  <c r="AF1" i="21"/>
  <c r="AG1" i="21"/>
  <c r="AH1" i="21"/>
  <c r="AI1" i="21"/>
  <c r="AJ1" i="21"/>
  <c r="AK1" i="21"/>
  <c r="AL1" i="21"/>
  <c r="AM1" i="21"/>
  <c r="AN1" i="21"/>
  <c r="AO1" i="21"/>
  <c r="AP1" i="21"/>
  <c r="AQ1" i="21"/>
  <c r="AR1" i="21"/>
  <c r="AS1" i="21"/>
  <c r="AT1" i="21"/>
  <c r="AU1" i="21"/>
  <c r="AV1" i="21"/>
  <c r="AW1" i="21"/>
  <c r="AX1" i="21"/>
  <c r="AY1" i="21"/>
  <c r="AZ1" i="21"/>
  <c r="BA1" i="21"/>
  <c r="BB1" i="21"/>
  <c r="BC1" i="21"/>
  <c r="BD1" i="21"/>
  <c r="B2" i="21"/>
  <c r="C2" i="21"/>
  <c r="D2" i="21"/>
  <c r="E2" i="21"/>
  <c r="F2" i="21"/>
  <c r="G2" i="21"/>
  <c r="H2" i="21"/>
  <c r="I2" i="21"/>
  <c r="J2" i="21"/>
  <c r="K2" i="21"/>
  <c r="L2" i="21"/>
  <c r="M2" i="21"/>
  <c r="N2" i="21"/>
  <c r="O2" i="21"/>
  <c r="P2" i="21"/>
  <c r="Q2" i="21"/>
  <c r="R2" i="21"/>
  <c r="S2" i="21"/>
  <c r="T2" i="21"/>
  <c r="U2" i="21"/>
  <c r="V2" i="21"/>
  <c r="W2" i="21"/>
  <c r="X2" i="21"/>
  <c r="Y2" i="21"/>
  <c r="Z2" i="21"/>
  <c r="AA2" i="21"/>
  <c r="AB2" i="21"/>
  <c r="AC2" i="21"/>
  <c r="AD2" i="21"/>
  <c r="AE2" i="21"/>
  <c r="AF2" i="21"/>
  <c r="AG2" i="21"/>
  <c r="AH2" i="21"/>
  <c r="AI2" i="21"/>
  <c r="AJ2" i="21"/>
  <c r="AK2" i="21"/>
  <c r="AL2" i="21"/>
  <c r="AM2" i="21"/>
  <c r="AN2" i="21"/>
  <c r="AO2" i="21"/>
  <c r="AP2" i="21"/>
  <c r="AQ2" i="21"/>
  <c r="AR2" i="21"/>
  <c r="AS2" i="21"/>
  <c r="AT2" i="21"/>
  <c r="AU2" i="21"/>
  <c r="AV2" i="21"/>
  <c r="AW2" i="21"/>
  <c r="AX2" i="21"/>
  <c r="AY2" i="21"/>
  <c r="AZ2" i="21"/>
  <c r="BA2" i="21"/>
  <c r="BB2" i="21"/>
  <c r="BC2" i="21"/>
  <c r="BD2" i="21"/>
  <c r="B3" i="21"/>
  <c r="C3" i="21"/>
  <c r="D3" i="21"/>
  <c r="E3" i="21"/>
  <c r="F3" i="21"/>
  <c r="G3" i="21"/>
  <c r="H3" i="21"/>
  <c r="I3" i="21"/>
  <c r="J3" i="21"/>
  <c r="K3" i="21"/>
  <c r="L3" i="21"/>
  <c r="M3" i="21"/>
  <c r="N3" i="21"/>
  <c r="O3" i="21"/>
  <c r="P3" i="21"/>
  <c r="Q3" i="21"/>
  <c r="R3" i="21"/>
  <c r="S3" i="21"/>
  <c r="T3" i="21"/>
  <c r="U3" i="21"/>
  <c r="V3" i="21"/>
  <c r="W3" i="21"/>
  <c r="X3" i="21"/>
  <c r="Y3" i="21"/>
  <c r="Z3" i="21"/>
  <c r="AA3" i="21"/>
  <c r="AB3" i="21"/>
  <c r="AC3" i="21"/>
  <c r="AD3" i="21"/>
  <c r="AE3" i="21"/>
  <c r="AF3" i="21"/>
  <c r="AG3" i="21"/>
  <c r="AH3" i="21"/>
  <c r="AI3" i="21"/>
  <c r="AJ3" i="21"/>
  <c r="AK3" i="21"/>
  <c r="AL3" i="21"/>
  <c r="AM3" i="21"/>
  <c r="AN3" i="21"/>
  <c r="AO3" i="21"/>
  <c r="AP3" i="21"/>
  <c r="AQ3" i="21"/>
  <c r="AR3" i="21"/>
  <c r="AS3" i="21"/>
  <c r="AT3" i="21"/>
  <c r="AU3" i="21"/>
  <c r="AV3" i="21"/>
  <c r="AW3" i="21"/>
  <c r="AX3" i="21"/>
  <c r="AY3" i="21"/>
  <c r="AZ3" i="21"/>
  <c r="BA3" i="21"/>
  <c r="BB3" i="21"/>
  <c r="BC3" i="21"/>
  <c r="BD3" i="21"/>
  <c r="B4" i="21"/>
  <c r="C4" i="21"/>
  <c r="D4" i="21"/>
  <c r="E4" i="21"/>
  <c r="F4" i="21"/>
  <c r="G4" i="21"/>
  <c r="H4" i="21"/>
  <c r="I4" i="21"/>
  <c r="J4" i="21"/>
  <c r="K4" i="21"/>
  <c r="L4" i="21"/>
  <c r="M4" i="21"/>
  <c r="N4" i="21"/>
  <c r="O4" i="21"/>
  <c r="P4" i="21"/>
  <c r="Q4" i="21"/>
  <c r="R4" i="21"/>
  <c r="S4" i="21"/>
  <c r="T4" i="21"/>
  <c r="U4" i="21"/>
  <c r="V4" i="21"/>
  <c r="W4" i="21"/>
  <c r="X4" i="21"/>
  <c r="Y4" i="21"/>
  <c r="Z4" i="21"/>
  <c r="AA4" i="21"/>
  <c r="AB4" i="21"/>
  <c r="AC4" i="21"/>
  <c r="AD4" i="21"/>
  <c r="AE4" i="21"/>
  <c r="AF4" i="21"/>
  <c r="AG4" i="21"/>
  <c r="AH4" i="21"/>
  <c r="AI4" i="21"/>
  <c r="AJ4" i="21"/>
  <c r="AK4" i="21"/>
  <c r="AL4" i="21"/>
  <c r="AM4" i="21"/>
  <c r="AN4" i="21"/>
  <c r="AO4" i="21"/>
  <c r="AP4" i="21"/>
  <c r="AQ4" i="21"/>
  <c r="AR4" i="21"/>
  <c r="AS4" i="21"/>
  <c r="AT4" i="21"/>
  <c r="AU4" i="21"/>
  <c r="AV4" i="21"/>
  <c r="AW4" i="21"/>
  <c r="AX4" i="21"/>
  <c r="AY4" i="21"/>
  <c r="AZ4" i="21"/>
  <c r="BA4" i="21"/>
  <c r="BB4" i="21"/>
  <c r="BC4" i="21"/>
  <c r="BD4" i="21"/>
  <c r="B5" i="21"/>
  <c r="C5" i="21"/>
  <c r="D5" i="21"/>
  <c r="E5" i="21"/>
  <c r="F5" i="21"/>
  <c r="G5" i="21"/>
  <c r="H5" i="21"/>
  <c r="I5" i="21"/>
  <c r="J5" i="21"/>
  <c r="K5" i="21"/>
  <c r="L5" i="21"/>
  <c r="M5" i="21"/>
  <c r="N5" i="21"/>
  <c r="O5" i="21"/>
  <c r="P5" i="21"/>
  <c r="Q5" i="21"/>
  <c r="R5" i="21"/>
  <c r="S5" i="21"/>
  <c r="T5" i="21"/>
  <c r="U5" i="21"/>
  <c r="V5" i="21"/>
  <c r="W5" i="21"/>
  <c r="Y5" i="21"/>
  <c r="Z5" i="21"/>
  <c r="AA5" i="21"/>
  <c r="AB5" i="21"/>
  <c r="AC5" i="21"/>
  <c r="AD5" i="21"/>
  <c r="AE5" i="21"/>
  <c r="AF5" i="21"/>
  <c r="AG5" i="21"/>
  <c r="AH5" i="21"/>
  <c r="AI5" i="21"/>
  <c r="AJ5" i="21"/>
  <c r="AK5" i="21"/>
  <c r="AL5" i="21"/>
  <c r="AM5" i="21"/>
  <c r="AN5" i="21"/>
  <c r="AO5" i="21"/>
  <c r="AP5" i="21"/>
  <c r="AQ5" i="21"/>
  <c r="AR5" i="21"/>
  <c r="AS5" i="21"/>
  <c r="AT5" i="21"/>
  <c r="AU5" i="21"/>
  <c r="AV5" i="21"/>
  <c r="AW5" i="21"/>
  <c r="AX5" i="21"/>
  <c r="AY5" i="21"/>
  <c r="AZ5" i="21"/>
  <c r="BA5" i="21"/>
  <c r="BB5" i="21"/>
  <c r="BC5" i="21"/>
  <c r="BD5" i="21"/>
  <c r="B6" i="21"/>
  <c r="C6" i="21"/>
  <c r="D6" i="21"/>
  <c r="E6" i="21"/>
  <c r="F6" i="21"/>
  <c r="G6" i="21"/>
  <c r="H6" i="21"/>
  <c r="I6" i="21"/>
  <c r="J6" i="21"/>
  <c r="K6" i="21"/>
  <c r="L6" i="21"/>
  <c r="M6" i="21"/>
  <c r="N6" i="21"/>
  <c r="O6" i="21"/>
  <c r="P6" i="21"/>
  <c r="Q6" i="21"/>
  <c r="R6" i="21"/>
  <c r="S6" i="21"/>
  <c r="T6" i="21"/>
  <c r="U6" i="21"/>
  <c r="V6" i="21"/>
  <c r="W6" i="21"/>
  <c r="Y6" i="21"/>
  <c r="Z6" i="21"/>
  <c r="AA6" i="21"/>
  <c r="AB6" i="21"/>
  <c r="AC6" i="21"/>
  <c r="AD6" i="21"/>
  <c r="AE6" i="21"/>
  <c r="AF6" i="21"/>
  <c r="AG6" i="21"/>
  <c r="AH6" i="21"/>
  <c r="AI6" i="21"/>
  <c r="AJ6" i="21"/>
  <c r="AK6" i="21"/>
  <c r="AL6" i="21"/>
  <c r="AM6" i="21"/>
  <c r="AN6" i="21"/>
  <c r="AO6" i="21"/>
  <c r="AP6" i="21"/>
  <c r="AQ6" i="21"/>
  <c r="AR6" i="21"/>
  <c r="AS6" i="21"/>
  <c r="AT6" i="21"/>
  <c r="AU6" i="21"/>
  <c r="AV6" i="21"/>
  <c r="AW6" i="21"/>
  <c r="AX6" i="21"/>
  <c r="AY6" i="21"/>
  <c r="AZ6" i="21"/>
  <c r="BA6" i="21"/>
  <c r="BB6" i="21"/>
  <c r="BC6" i="21"/>
  <c r="BD6" i="21"/>
  <c r="B7" i="21"/>
  <c r="C7" i="21"/>
  <c r="D7" i="21"/>
  <c r="E7" i="21"/>
  <c r="F7" i="21"/>
  <c r="G7" i="21"/>
  <c r="H7" i="21"/>
  <c r="I7" i="21"/>
  <c r="J7" i="21"/>
  <c r="K7" i="21"/>
  <c r="L7" i="21"/>
  <c r="M7" i="21"/>
  <c r="N7" i="21"/>
  <c r="O7" i="21"/>
  <c r="P7" i="21"/>
  <c r="Q7" i="21"/>
  <c r="R7" i="21"/>
  <c r="S7" i="21"/>
  <c r="T7" i="21"/>
  <c r="U7" i="21"/>
  <c r="V7" i="21"/>
  <c r="W7" i="21"/>
  <c r="Y7" i="21"/>
  <c r="Z7" i="21"/>
  <c r="AA7" i="21"/>
  <c r="AB7" i="21"/>
  <c r="AC7" i="21"/>
  <c r="AD7" i="21"/>
  <c r="AE7" i="21"/>
  <c r="AF7" i="21"/>
  <c r="AG7" i="21"/>
  <c r="AH7" i="21"/>
  <c r="AI7" i="21"/>
  <c r="AJ7" i="21"/>
  <c r="AK7" i="21"/>
  <c r="AL7" i="21"/>
  <c r="AM7" i="21"/>
  <c r="AN7" i="21"/>
  <c r="AO7" i="21"/>
  <c r="AP7" i="21"/>
  <c r="AQ7" i="21"/>
  <c r="AR7" i="21"/>
  <c r="AS7" i="21"/>
  <c r="AT7" i="21"/>
  <c r="AU7" i="21"/>
  <c r="AV7" i="21"/>
  <c r="AW7" i="21"/>
  <c r="AX7" i="21"/>
  <c r="AY7" i="21"/>
  <c r="AZ7" i="21"/>
  <c r="BA7" i="21"/>
  <c r="BB7" i="21"/>
  <c r="BC7" i="21"/>
  <c r="BD7" i="21"/>
  <c r="E8" i="21"/>
  <c r="Q8" i="21"/>
  <c r="Y8" i="21"/>
  <c r="AL8" i="21"/>
  <c r="AT8" i="21"/>
  <c r="B10" i="21"/>
  <c r="C10" i="21"/>
  <c r="D10" i="21"/>
  <c r="E10" i="21"/>
  <c r="F10" i="21"/>
  <c r="G10" i="21"/>
  <c r="H10" i="21"/>
  <c r="I10" i="21"/>
  <c r="J10" i="21"/>
  <c r="K10" i="21"/>
  <c r="L10" i="21"/>
  <c r="M10" i="21"/>
  <c r="N10" i="21"/>
  <c r="O10" i="21"/>
  <c r="P10" i="21"/>
  <c r="Q10" i="21"/>
  <c r="R10" i="21"/>
  <c r="S10" i="21"/>
  <c r="T10" i="21"/>
  <c r="U10" i="21"/>
  <c r="V10" i="21"/>
  <c r="W10" i="21"/>
  <c r="Y10" i="21"/>
  <c r="Z10" i="21"/>
  <c r="AA10" i="21"/>
  <c r="AB10" i="21"/>
  <c r="AC10" i="21"/>
  <c r="AD10" i="21"/>
  <c r="AE10" i="21"/>
  <c r="AF10" i="21"/>
  <c r="AG10" i="21"/>
  <c r="AH10" i="21"/>
  <c r="AI10" i="21"/>
  <c r="AJ10" i="21"/>
  <c r="AK10" i="21"/>
  <c r="AL10" i="21"/>
  <c r="AM10" i="21"/>
  <c r="AN10" i="21"/>
  <c r="AO10" i="21"/>
  <c r="AP10" i="21"/>
  <c r="AQ10" i="21"/>
  <c r="AR10" i="21"/>
  <c r="AS10" i="21"/>
  <c r="AT10" i="21"/>
  <c r="AU10" i="21"/>
  <c r="AV10" i="21"/>
  <c r="AW10" i="21"/>
  <c r="AX10" i="21"/>
  <c r="AY10" i="21"/>
  <c r="AZ10" i="21"/>
  <c r="BA10" i="21"/>
  <c r="BB10" i="21"/>
  <c r="BC10" i="21"/>
  <c r="BD10" i="21"/>
  <c r="B11" i="21"/>
  <c r="C11" i="21"/>
  <c r="C12" i="21"/>
  <c r="D11" i="21"/>
  <c r="E11" i="21"/>
  <c r="F11" i="21"/>
  <c r="G11" i="21"/>
  <c r="H11" i="21"/>
  <c r="I11" i="21"/>
  <c r="J11" i="21"/>
  <c r="K11" i="21"/>
  <c r="L11" i="21"/>
  <c r="M11" i="21"/>
  <c r="N11" i="21"/>
  <c r="O11" i="21"/>
  <c r="P11" i="21"/>
  <c r="Q11" i="21"/>
  <c r="R11" i="21"/>
  <c r="S11" i="21"/>
  <c r="S12" i="21"/>
  <c r="T11" i="21"/>
  <c r="U11" i="21"/>
  <c r="V11" i="21"/>
  <c r="W11" i="21"/>
  <c r="Y11" i="21"/>
  <c r="Z11" i="21"/>
  <c r="AA11" i="21"/>
  <c r="AB11" i="21"/>
  <c r="AC11" i="21"/>
  <c r="AD11" i="21"/>
  <c r="AE11" i="21"/>
  <c r="AF11" i="21"/>
  <c r="AG11" i="21"/>
  <c r="AG8" i="21"/>
  <c r="AH11" i="21"/>
  <c r="AI11" i="21"/>
  <c r="AJ11" i="21"/>
  <c r="AK11" i="21"/>
  <c r="AL11" i="21"/>
  <c r="AM11" i="21"/>
  <c r="AN11" i="21"/>
  <c r="AO11" i="21"/>
  <c r="AO8" i="21"/>
  <c r="AP11" i="21"/>
  <c r="AQ11" i="21"/>
  <c r="AQ32" i="21"/>
  <c r="AR11" i="21"/>
  <c r="AS11" i="21"/>
  <c r="AT11" i="21"/>
  <c r="AU11" i="21"/>
  <c r="AV11" i="21"/>
  <c r="AW11" i="21"/>
  <c r="AW8" i="21"/>
  <c r="AX11" i="21"/>
  <c r="AY11" i="21"/>
  <c r="AZ11" i="21"/>
  <c r="BA11" i="21"/>
  <c r="BB11" i="21"/>
  <c r="BC11" i="21"/>
  <c r="BC33" i="21"/>
  <c r="BD11" i="21"/>
  <c r="BK11" i="21"/>
  <c r="BL11" i="21"/>
  <c r="B12" i="21"/>
  <c r="G12" i="21"/>
  <c r="I12" i="21"/>
  <c r="K12" i="21"/>
  <c r="M12" i="21"/>
  <c r="N12" i="21"/>
  <c r="O12" i="21"/>
  <c r="U12" i="21"/>
  <c r="W12" i="21"/>
  <c r="Y12" i="21"/>
  <c r="Z12" i="21"/>
  <c r="AC12" i="21"/>
  <c r="AD12" i="21"/>
  <c r="AG12" i="21"/>
  <c r="AK12" i="21"/>
  <c r="AL12" i="21"/>
  <c r="AO12" i="21"/>
  <c r="AP12" i="21"/>
  <c r="AQ12" i="21"/>
  <c r="AS12" i="21"/>
  <c r="AW12" i="21"/>
  <c r="BA12" i="21"/>
  <c r="BB12" i="21"/>
  <c r="BK12" i="21"/>
  <c r="BL12" i="21"/>
  <c r="B13" i="21"/>
  <c r="E13" i="21"/>
  <c r="M13" i="21"/>
  <c r="R13" i="21"/>
  <c r="U13" i="21"/>
  <c r="Y13" i="21"/>
  <c r="Z13" i="21"/>
  <c r="AC13" i="21"/>
  <c r="AG13" i="21"/>
  <c r="AH13" i="21"/>
  <c r="AK13" i="21"/>
  <c r="AO13" i="21"/>
  <c r="AP13" i="21"/>
  <c r="AS13" i="21"/>
  <c r="AW13" i="21"/>
  <c r="AX13" i="21"/>
  <c r="BA13" i="21"/>
  <c r="BK13" i="21"/>
  <c r="BL13" i="21"/>
  <c r="B14" i="21"/>
  <c r="D14" i="21"/>
  <c r="H14" i="21"/>
  <c r="L14" i="21"/>
  <c r="M14" i="21"/>
  <c r="P14" i="21"/>
  <c r="Q14" i="21"/>
  <c r="R14" i="21"/>
  <c r="T14" i="21"/>
  <c r="Y14" i="21"/>
  <c r="AB14" i="21"/>
  <c r="AC14" i="21"/>
  <c r="AD14" i="21"/>
  <c r="AF14" i="21"/>
  <c r="AG14" i="21"/>
  <c r="AH14" i="21"/>
  <c r="AJ14" i="21"/>
  <c r="AK14" i="21"/>
  <c r="AN14" i="21"/>
  <c r="AO14" i="21"/>
  <c r="AR14" i="21"/>
  <c r="AS14" i="21"/>
  <c r="AW14" i="21"/>
  <c r="AZ14" i="21"/>
  <c r="BA14" i="21"/>
  <c r="BB14" i="21"/>
  <c r="BD14" i="21"/>
  <c r="BK14" i="21"/>
  <c r="BL14" i="21"/>
  <c r="B15" i="21"/>
  <c r="D15" i="21"/>
  <c r="I15" i="21"/>
  <c r="N15" i="21"/>
  <c r="P15" i="21"/>
  <c r="T15" i="21"/>
  <c r="U15" i="21"/>
  <c r="Y15" i="21"/>
  <c r="Z15" i="21"/>
  <c r="AC15" i="21"/>
  <c r="AF15" i="21"/>
  <c r="AG15" i="21"/>
  <c r="AH15" i="21"/>
  <c r="AJ15" i="21"/>
  <c r="AK15" i="21"/>
  <c r="AL15" i="21"/>
  <c r="AO15" i="21"/>
  <c r="AS15" i="21"/>
  <c r="AV15" i="21"/>
  <c r="AW15" i="21"/>
  <c r="AZ15" i="21"/>
  <c r="BA15" i="21"/>
  <c r="BK15" i="21"/>
  <c r="BL15" i="21"/>
  <c r="I16" i="21"/>
  <c r="J16" i="21"/>
  <c r="L16" i="21"/>
  <c r="P16" i="21"/>
  <c r="U16" i="21"/>
  <c r="V16" i="21"/>
  <c r="Y16" i="21"/>
  <c r="AB16" i="21"/>
  <c r="AC16" i="21"/>
  <c r="AF16" i="21"/>
  <c r="AG16" i="21"/>
  <c r="AH16" i="21"/>
  <c r="AK16" i="21"/>
  <c r="AO16" i="21"/>
  <c r="AP16" i="21"/>
  <c r="AR16" i="21"/>
  <c r="AS16" i="21"/>
  <c r="AV16" i="21"/>
  <c r="AW16" i="21"/>
  <c r="BA16" i="21"/>
  <c r="BB16" i="21"/>
  <c r="BK16" i="21"/>
  <c r="BL16" i="21"/>
  <c r="E17" i="21"/>
  <c r="F17" i="21"/>
  <c r="H17" i="21"/>
  <c r="L17" i="21"/>
  <c r="Q17" i="21"/>
  <c r="R17" i="21"/>
  <c r="Y17" i="21"/>
  <c r="Z17" i="21"/>
  <c r="AB17" i="21"/>
  <c r="AC17" i="21"/>
  <c r="AD17" i="21"/>
  <c r="AG17" i="21"/>
  <c r="AK17" i="21"/>
  <c r="AL17" i="21"/>
  <c r="AN17" i="21"/>
  <c r="AO17" i="21"/>
  <c r="AR17" i="21"/>
  <c r="AS17" i="21"/>
  <c r="AW17" i="21"/>
  <c r="BA17" i="21"/>
  <c r="BB17" i="21"/>
  <c r="BD17" i="21"/>
  <c r="BK17" i="21"/>
  <c r="BL17" i="21"/>
  <c r="B19" i="21"/>
  <c r="C19" i="21"/>
  <c r="D19" i="21"/>
  <c r="E19" i="21"/>
  <c r="F19" i="21"/>
  <c r="G19" i="21"/>
  <c r="H19" i="21"/>
  <c r="I19" i="21"/>
  <c r="J19" i="21"/>
  <c r="K19" i="21"/>
  <c r="L19" i="21"/>
  <c r="M19" i="21"/>
  <c r="N19" i="21"/>
  <c r="O19" i="21"/>
  <c r="P19" i="21"/>
  <c r="Q19" i="21"/>
  <c r="R19" i="21"/>
  <c r="S19" i="21"/>
  <c r="T19" i="21"/>
  <c r="U19" i="21"/>
  <c r="V19" i="21"/>
  <c r="W19" i="21"/>
  <c r="Y19" i="21"/>
  <c r="Z19" i="21"/>
  <c r="AA19" i="21"/>
  <c r="AB19" i="21"/>
  <c r="AC19" i="21"/>
  <c r="AD19" i="21"/>
  <c r="AE19" i="21"/>
  <c r="AF19" i="21"/>
  <c r="AG19" i="21"/>
  <c r="AH19" i="21"/>
  <c r="AI19" i="21"/>
  <c r="AJ19" i="21"/>
  <c r="AK19" i="21"/>
  <c r="AL19" i="21"/>
  <c r="AM19" i="21"/>
  <c r="AN19" i="21"/>
  <c r="AO19" i="21"/>
  <c r="AP19" i="21"/>
  <c r="AQ19" i="21"/>
  <c r="AR19" i="21"/>
  <c r="AS19" i="21"/>
  <c r="AT19" i="21"/>
  <c r="AU19" i="21"/>
  <c r="AV19" i="21"/>
  <c r="AW19" i="21"/>
  <c r="AX19" i="21"/>
  <c r="AY19" i="21"/>
  <c r="AZ19" i="21"/>
  <c r="BA19" i="21"/>
  <c r="BB19" i="21"/>
  <c r="BC19" i="21"/>
  <c r="BD19" i="21"/>
  <c r="B20" i="21"/>
  <c r="C20" i="21"/>
  <c r="D20" i="21"/>
  <c r="E20" i="21"/>
  <c r="F20" i="21"/>
  <c r="G20" i="21"/>
  <c r="H20" i="21"/>
  <c r="I20" i="21"/>
  <c r="J20" i="21"/>
  <c r="K20" i="21"/>
  <c r="L20" i="21"/>
  <c r="M20" i="21"/>
  <c r="N20" i="21"/>
  <c r="O20" i="21"/>
  <c r="P20" i="21"/>
  <c r="Q20" i="21"/>
  <c r="R20" i="21"/>
  <c r="S20" i="21"/>
  <c r="T20" i="21"/>
  <c r="U20" i="21"/>
  <c r="V20" i="21"/>
  <c r="W20" i="21"/>
  <c r="Y20" i="21"/>
  <c r="Z20" i="21"/>
  <c r="AA20" i="21"/>
  <c r="AB20" i="21"/>
  <c r="AC20" i="21"/>
  <c r="AD20" i="21"/>
  <c r="AE20" i="21"/>
  <c r="AF20" i="21"/>
  <c r="AG20" i="21"/>
  <c r="AH20" i="21"/>
  <c r="AI20" i="21"/>
  <c r="AJ20" i="21"/>
  <c r="AK20" i="21"/>
  <c r="AL20" i="21"/>
  <c r="AM20" i="21"/>
  <c r="AN20" i="21"/>
  <c r="AO20" i="21"/>
  <c r="AP20" i="21"/>
  <c r="AQ20" i="21"/>
  <c r="AR20" i="21"/>
  <c r="AS20" i="21"/>
  <c r="AT20" i="21"/>
  <c r="AU20" i="21"/>
  <c r="AV20" i="21"/>
  <c r="AW20" i="21"/>
  <c r="AX20" i="21"/>
  <c r="AY20" i="21"/>
  <c r="AZ20" i="21"/>
  <c r="BA20" i="21"/>
  <c r="BB20" i="21"/>
  <c r="BC20" i="21"/>
  <c r="BD20" i="21"/>
  <c r="B21" i="21"/>
  <c r="D21" i="21"/>
  <c r="H21" i="21"/>
  <c r="L21" i="21"/>
  <c r="M21" i="21"/>
  <c r="P21" i="21"/>
  <c r="Q21" i="21"/>
  <c r="R21" i="21"/>
  <c r="T21" i="21"/>
  <c r="Y21" i="21"/>
  <c r="AB21" i="21"/>
  <c r="AC21" i="21"/>
  <c r="AD21" i="21"/>
  <c r="AF21" i="21"/>
  <c r="AG21" i="21"/>
  <c r="AH21" i="21"/>
  <c r="AJ21" i="21"/>
  <c r="AK21" i="21"/>
  <c r="AN21" i="21"/>
  <c r="AO21" i="21"/>
  <c r="AR21" i="21"/>
  <c r="AS21" i="21"/>
  <c r="AW21" i="21"/>
  <c r="BA21" i="21"/>
  <c r="BB21" i="21"/>
  <c r="D22" i="21"/>
  <c r="J22" i="21"/>
  <c r="L22" i="21"/>
  <c r="T22" i="21"/>
  <c r="V22" i="21"/>
  <c r="AB22" i="21"/>
  <c r="AD22" i="21"/>
  <c r="AH22" i="21"/>
  <c r="AJ22" i="21"/>
  <c r="AP22" i="21"/>
  <c r="AR22" i="21"/>
  <c r="AZ22" i="21"/>
  <c r="BB22" i="21"/>
  <c r="B23" i="21"/>
  <c r="C23" i="21"/>
  <c r="D23" i="21"/>
  <c r="E23" i="21"/>
  <c r="F23" i="21"/>
  <c r="G23" i="21"/>
  <c r="H23" i="21"/>
  <c r="I23" i="21"/>
  <c r="J23" i="21"/>
  <c r="K23" i="21"/>
  <c r="L23" i="21"/>
  <c r="M23" i="21"/>
  <c r="N23" i="21"/>
  <c r="O23" i="21"/>
  <c r="P23" i="21"/>
  <c r="Q23" i="21"/>
  <c r="R23" i="21"/>
  <c r="S23" i="21"/>
  <c r="T23" i="21"/>
  <c r="U23" i="21"/>
  <c r="V23" i="21"/>
  <c r="W23" i="21"/>
  <c r="Y23" i="21"/>
  <c r="Z23" i="21"/>
  <c r="AA23" i="21"/>
  <c r="AB23" i="21"/>
  <c r="AC23" i="21"/>
  <c r="AD23" i="21"/>
  <c r="AE23" i="21"/>
  <c r="AF23" i="21"/>
  <c r="AG23" i="21"/>
  <c r="AH23" i="21"/>
  <c r="AI23" i="21"/>
  <c r="AJ23" i="21"/>
  <c r="AK23" i="21"/>
  <c r="AL23" i="21"/>
  <c r="AM23" i="21"/>
  <c r="AN23" i="21"/>
  <c r="AO23" i="21"/>
  <c r="AP23" i="21"/>
  <c r="AQ23" i="21"/>
  <c r="AR23" i="21"/>
  <c r="AS23" i="21"/>
  <c r="AV23" i="21"/>
  <c r="AW23" i="21"/>
  <c r="AZ23" i="21"/>
  <c r="BA23" i="21"/>
  <c r="BB23" i="21"/>
  <c r="BD23" i="21"/>
  <c r="H24" i="21"/>
  <c r="P24" i="21"/>
  <c r="R24" i="21"/>
  <c r="AD24" i="21"/>
  <c r="AF24" i="21"/>
  <c r="AN24" i="21"/>
  <c r="AP24" i="21"/>
  <c r="AZ24" i="21"/>
  <c r="BB24" i="21"/>
  <c r="B25" i="21"/>
  <c r="C25" i="21"/>
  <c r="G25" i="21"/>
  <c r="K25" i="21"/>
  <c r="M25" i="21"/>
  <c r="O25" i="21"/>
  <c r="Q25" i="21"/>
  <c r="R25" i="21"/>
  <c r="S25" i="21"/>
  <c r="W25" i="21"/>
  <c r="Y25" i="21"/>
  <c r="AA25" i="21"/>
  <c r="AC25" i="21"/>
  <c r="AG25" i="21"/>
  <c r="AH25" i="21"/>
  <c r="AK25" i="21"/>
  <c r="AL25" i="21"/>
  <c r="AO25" i="21"/>
  <c r="AQ25" i="21"/>
  <c r="AS25" i="21"/>
  <c r="AV25" i="21"/>
  <c r="AW25" i="21"/>
  <c r="AX25" i="21"/>
  <c r="AZ25" i="21"/>
  <c r="BA25" i="21"/>
  <c r="BB25" i="21"/>
  <c r="BD25" i="21"/>
  <c r="H26" i="21"/>
  <c r="N26" i="21"/>
  <c r="P26" i="21"/>
  <c r="Z26" i="21"/>
  <c r="AD26" i="21"/>
  <c r="AF26" i="21"/>
  <c r="AL26" i="21"/>
  <c r="AN26" i="21"/>
  <c r="AV26" i="21"/>
  <c r="AX26" i="21"/>
  <c r="BB26" i="21"/>
  <c r="BD26" i="21"/>
  <c r="B28" i="21"/>
  <c r="C28" i="21"/>
  <c r="D28" i="21"/>
  <c r="E28" i="21"/>
  <c r="F28" i="21"/>
  <c r="G28" i="21"/>
  <c r="H28" i="21"/>
  <c r="I28" i="21"/>
  <c r="J28" i="21"/>
  <c r="K28" i="21"/>
  <c r="L28" i="21"/>
  <c r="M28" i="21"/>
  <c r="N28" i="21"/>
  <c r="O28" i="21"/>
  <c r="P28" i="21"/>
  <c r="Q28" i="21"/>
  <c r="R28" i="21"/>
  <c r="S28" i="21"/>
  <c r="T28" i="21"/>
  <c r="U28" i="21"/>
  <c r="V28" i="21"/>
  <c r="W28" i="21"/>
  <c r="Y28" i="21"/>
  <c r="Z28" i="21"/>
  <c r="AA28" i="21"/>
  <c r="AB28" i="21"/>
  <c r="AC28" i="21"/>
  <c r="AD28" i="21"/>
  <c r="AE28" i="21"/>
  <c r="AF28" i="21"/>
  <c r="AG28" i="21"/>
  <c r="AH28" i="21"/>
  <c r="AI28" i="21"/>
  <c r="AJ28" i="21"/>
  <c r="AK28" i="21"/>
  <c r="AL28" i="21"/>
  <c r="AM28" i="21"/>
  <c r="AN28" i="21"/>
  <c r="AO28" i="21"/>
  <c r="AP28" i="21"/>
  <c r="AQ28" i="21"/>
  <c r="AR28" i="21"/>
  <c r="AS28" i="21"/>
  <c r="AT28" i="21"/>
  <c r="AU28" i="21"/>
  <c r="AV28" i="21"/>
  <c r="AW28" i="21"/>
  <c r="AX28" i="21"/>
  <c r="AY28" i="21"/>
  <c r="AZ28" i="21"/>
  <c r="BA28" i="21"/>
  <c r="BB28" i="21"/>
  <c r="BC28" i="21"/>
  <c r="BD28" i="21"/>
  <c r="BH28" i="21"/>
  <c r="BI28" i="21"/>
  <c r="BJ28" i="21"/>
  <c r="B29" i="21"/>
  <c r="C29" i="21"/>
  <c r="D29" i="21"/>
  <c r="E29" i="21"/>
  <c r="F29" i="21"/>
  <c r="G29" i="21"/>
  <c r="H29" i="21"/>
  <c r="I29" i="21"/>
  <c r="J29" i="21"/>
  <c r="K29" i="21"/>
  <c r="L29" i="21"/>
  <c r="M29" i="21"/>
  <c r="N29" i="21"/>
  <c r="O29" i="21"/>
  <c r="P29" i="21"/>
  <c r="Q29" i="21"/>
  <c r="R29" i="21"/>
  <c r="S29" i="21"/>
  <c r="T29" i="21"/>
  <c r="U29" i="21"/>
  <c r="V29" i="21"/>
  <c r="W29" i="21"/>
  <c r="Y29" i="21"/>
  <c r="Z29" i="21"/>
  <c r="AA29" i="21"/>
  <c r="AB29" i="21"/>
  <c r="AC29" i="21"/>
  <c r="AD29" i="21"/>
  <c r="AE29" i="21"/>
  <c r="AF29" i="21"/>
  <c r="AG29" i="21"/>
  <c r="AH29" i="21"/>
  <c r="AI29" i="21"/>
  <c r="AJ29" i="21"/>
  <c r="AK29" i="21"/>
  <c r="AL29" i="21"/>
  <c r="AM29" i="21"/>
  <c r="AN29" i="21"/>
  <c r="AO29" i="21"/>
  <c r="AP29" i="21"/>
  <c r="AQ29" i="21"/>
  <c r="AR29" i="21"/>
  <c r="AS29" i="21"/>
  <c r="AT29" i="21"/>
  <c r="AU29" i="21"/>
  <c r="AV29" i="21"/>
  <c r="AW29" i="21"/>
  <c r="AX29" i="21"/>
  <c r="AY29" i="21"/>
  <c r="AZ29" i="21"/>
  <c r="BA29" i="21"/>
  <c r="BB29" i="21"/>
  <c r="BC29" i="21"/>
  <c r="BD29" i="21"/>
  <c r="BH29" i="21"/>
  <c r="BI29" i="21"/>
  <c r="B30" i="21"/>
  <c r="D30" i="21"/>
  <c r="L30" i="21"/>
  <c r="N30" i="21"/>
  <c r="T30" i="21"/>
  <c r="Z30" i="21"/>
  <c r="AB30" i="21"/>
  <c r="AH30" i="21"/>
  <c r="AJ30" i="21"/>
  <c r="AR30" i="21"/>
  <c r="AX30" i="21"/>
  <c r="AZ30" i="21"/>
  <c r="BH30" i="21"/>
  <c r="BI30" i="21"/>
  <c r="F31" i="21"/>
  <c r="I31" i="21"/>
  <c r="L31" i="21"/>
  <c r="M31" i="21"/>
  <c r="N31" i="21"/>
  <c r="P31" i="21"/>
  <c r="U31" i="21"/>
  <c r="Y31" i="21"/>
  <c r="Z31" i="21"/>
  <c r="AB31" i="21"/>
  <c r="AC31" i="21"/>
  <c r="AF31" i="21"/>
  <c r="AG31" i="21"/>
  <c r="AK31" i="21"/>
  <c r="AL31" i="21"/>
  <c r="AO31" i="21"/>
  <c r="AR31" i="21"/>
  <c r="AS31" i="21"/>
  <c r="AT31" i="21"/>
  <c r="AT33" i="21"/>
  <c r="AV31" i="21"/>
  <c r="AW31" i="21"/>
  <c r="AX31" i="21"/>
  <c r="AZ31" i="21"/>
  <c r="BA31" i="21"/>
  <c r="B32" i="21"/>
  <c r="D32" i="21"/>
  <c r="H32" i="21"/>
  <c r="I32" i="21"/>
  <c r="N32" i="21"/>
  <c r="P32" i="21"/>
  <c r="S32" i="21"/>
  <c r="T32" i="21"/>
  <c r="W32" i="21"/>
  <c r="Y32" i="21"/>
  <c r="AB32" i="21"/>
  <c r="AC32" i="21"/>
  <c r="AF32" i="21"/>
  <c r="AG32" i="21"/>
  <c r="AJ32" i="21"/>
  <c r="AK32" i="21"/>
  <c r="AN32" i="21"/>
  <c r="AO32" i="21"/>
  <c r="AR32" i="21"/>
  <c r="AS32" i="21"/>
  <c r="AV32" i="21"/>
  <c r="AW32" i="21"/>
  <c r="AZ32" i="21"/>
  <c r="BA32" i="21"/>
  <c r="BD32" i="21"/>
  <c r="C33" i="21"/>
  <c r="D33" i="21"/>
  <c r="E33" i="21"/>
  <c r="G33" i="21"/>
  <c r="H33" i="21"/>
  <c r="I33" i="21"/>
  <c r="K33" i="21"/>
  <c r="L33" i="21"/>
  <c r="M33" i="21"/>
  <c r="O33" i="21"/>
  <c r="P33" i="21"/>
  <c r="Q33" i="21"/>
  <c r="S33" i="21"/>
  <c r="T33" i="21"/>
  <c r="U33" i="21"/>
  <c r="W33" i="21"/>
  <c r="Y33" i="21"/>
  <c r="Z33" i="21"/>
  <c r="AB33" i="21"/>
  <c r="AC33" i="21"/>
  <c r="AD33" i="21"/>
  <c r="AF33" i="21"/>
  <c r="AG33" i="21"/>
  <c r="AH33" i="21"/>
  <c r="AJ33" i="21"/>
  <c r="AK33" i="21"/>
  <c r="AL33" i="21"/>
  <c r="AN33" i="21"/>
  <c r="AO33" i="21"/>
  <c r="AP33" i="21"/>
  <c r="AR33" i="21"/>
  <c r="AS33" i="21"/>
  <c r="AU33" i="21"/>
  <c r="AV33" i="21"/>
  <c r="AW33" i="21"/>
  <c r="AY33" i="21"/>
  <c r="AZ33" i="21"/>
  <c r="BA33" i="21"/>
  <c r="BD33" i="21"/>
  <c r="D34" i="21"/>
  <c r="E34" i="21"/>
  <c r="H34" i="21"/>
  <c r="J34" i="21"/>
  <c r="L34" i="21"/>
  <c r="P34" i="21"/>
  <c r="Q34" i="21"/>
  <c r="T34" i="21"/>
  <c r="U34" i="21"/>
  <c r="Y34" i="21"/>
  <c r="AB34" i="21"/>
  <c r="AC34" i="21"/>
  <c r="AF34" i="21"/>
  <c r="AG34" i="21"/>
  <c r="AH34" i="21"/>
  <c r="AJ34" i="21"/>
  <c r="AK34" i="21"/>
  <c r="AL34" i="21"/>
  <c r="AN34" i="21"/>
  <c r="AO34" i="21"/>
  <c r="AR34" i="21"/>
  <c r="AS34" i="21"/>
  <c r="AV34" i="21"/>
  <c r="AW34" i="21"/>
  <c r="AX34" i="21"/>
  <c r="AZ34" i="21"/>
  <c r="BA34" i="21"/>
  <c r="BD34" i="21"/>
  <c r="C35" i="21"/>
  <c r="D35" i="21"/>
  <c r="E35" i="21"/>
  <c r="G35" i="21"/>
  <c r="H35" i="21"/>
  <c r="I35" i="21"/>
  <c r="K35" i="21"/>
  <c r="L35" i="21"/>
  <c r="M35" i="21"/>
  <c r="O35" i="21"/>
  <c r="P35" i="21"/>
  <c r="Q35" i="21"/>
  <c r="S35" i="21"/>
  <c r="T35" i="21"/>
  <c r="U35" i="21"/>
  <c r="W35" i="21"/>
  <c r="Y35" i="21"/>
  <c r="Z35" i="21"/>
  <c r="AB35" i="21"/>
  <c r="AC35" i="21"/>
  <c r="AD35" i="21"/>
  <c r="AF35" i="21"/>
  <c r="AG35" i="21"/>
  <c r="AH35" i="21"/>
  <c r="AJ35" i="21"/>
  <c r="AK35" i="21"/>
  <c r="AL35" i="21"/>
  <c r="AN35" i="21"/>
  <c r="AO35" i="21"/>
  <c r="AP35" i="21"/>
  <c r="AR35" i="21"/>
  <c r="AS35" i="21"/>
  <c r="AV35" i="21"/>
  <c r="AW35" i="21"/>
  <c r="AY35" i="21"/>
  <c r="AZ35" i="21"/>
  <c r="BA35" i="21"/>
  <c r="BC35" i="21"/>
  <c r="BD35" i="21"/>
  <c r="B7" i="13"/>
  <c r="C7" i="13"/>
  <c r="D7" i="13"/>
  <c r="E7" i="13"/>
  <c r="F7" i="13"/>
  <c r="G7" i="13"/>
  <c r="H7" i="13"/>
  <c r="I7" i="13"/>
  <c r="J7" i="13"/>
  <c r="K7" i="13"/>
  <c r="L7" i="13"/>
  <c r="B13" i="13"/>
  <c r="C13" i="13"/>
  <c r="D13" i="13"/>
  <c r="E13" i="13"/>
  <c r="F13" i="13"/>
  <c r="G13" i="13"/>
  <c r="H13" i="13"/>
  <c r="B20" i="13"/>
  <c r="X5" i="21"/>
  <c r="C20" i="13"/>
  <c r="D20" i="13"/>
  <c r="E20" i="13"/>
  <c r="F20" i="13"/>
  <c r="B26" i="13"/>
  <c r="C26" i="13"/>
  <c r="D26" i="13"/>
  <c r="E26" i="13"/>
  <c r="F26" i="13"/>
  <c r="G26" i="13"/>
  <c r="H26" i="13"/>
  <c r="I26" i="13"/>
  <c r="J26" i="13"/>
  <c r="A96" i="13"/>
  <c r="B96" i="13"/>
  <c r="C96" i="13"/>
  <c r="D96" i="13"/>
  <c r="E96" i="13"/>
  <c r="F96" i="13"/>
  <c r="G96" i="13"/>
  <c r="A97" i="13"/>
  <c r="B97" i="13"/>
  <c r="C97" i="13"/>
  <c r="D97" i="13"/>
  <c r="E97" i="13"/>
  <c r="F97" i="13"/>
  <c r="G97" i="13"/>
  <c r="A98" i="13"/>
  <c r="B98" i="13"/>
  <c r="C98" i="13"/>
  <c r="D98" i="13"/>
  <c r="E98" i="13"/>
  <c r="F98" i="13"/>
  <c r="G98" i="13"/>
  <c r="A99" i="13"/>
  <c r="B99" i="13"/>
  <c r="C99" i="13"/>
  <c r="D99" i="13"/>
  <c r="E99" i="13"/>
  <c r="F99" i="13"/>
  <c r="G99" i="13"/>
  <c r="A100" i="13"/>
  <c r="B100" i="13"/>
  <c r="C100" i="13"/>
  <c r="D100" i="13"/>
  <c r="E100" i="13"/>
  <c r="F100" i="13"/>
  <c r="G100" i="13"/>
  <c r="A101" i="13"/>
  <c r="B101" i="13"/>
  <c r="C101" i="13"/>
  <c r="D101" i="13"/>
  <c r="E101" i="13"/>
  <c r="F101" i="13"/>
  <c r="G101" i="13"/>
  <c r="A102" i="13"/>
  <c r="B102" i="13"/>
  <c r="C102" i="13"/>
  <c r="D102" i="13"/>
  <c r="E102" i="13"/>
  <c r="F102" i="13"/>
  <c r="G102" i="13"/>
  <c r="A103" i="13"/>
  <c r="B103" i="13"/>
  <c r="C103" i="13"/>
  <c r="D103" i="13"/>
  <c r="E103" i="13"/>
  <c r="F103" i="13"/>
  <c r="G103" i="13"/>
  <c r="A104" i="13"/>
  <c r="B104" i="13"/>
  <c r="C104" i="13"/>
  <c r="D104" i="13"/>
  <c r="E104" i="13"/>
  <c r="F104" i="13"/>
  <c r="G104" i="13"/>
  <c r="A105" i="13"/>
  <c r="B105" i="13"/>
  <c r="C105" i="13"/>
  <c r="D105" i="13"/>
  <c r="E105" i="13"/>
  <c r="F105" i="13"/>
  <c r="G105" i="13"/>
  <c r="A106" i="13"/>
  <c r="B106" i="13"/>
  <c r="C106" i="13"/>
  <c r="D106" i="13"/>
  <c r="E106" i="13"/>
  <c r="F106" i="13"/>
  <c r="G106" i="13"/>
  <c r="U2" i="18"/>
  <c r="V2" i="18"/>
  <c r="W2" i="18"/>
  <c r="X2" i="18"/>
  <c r="Y2" i="18"/>
  <c r="Z2" i="18"/>
  <c r="AA2" i="18"/>
  <c r="AB2" i="18"/>
  <c r="AC2" i="18"/>
  <c r="AD2" i="18"/>
  <c r="AE2" i="18"/>
  <c r="U3" i="18"/>
  <c r="V3" i="18"/>
  <c r="W3" i="18"/>
  <c r="X3" i="18"/>
  <c r="Y3" i="18"/>
  <c r="Z3" i="18"/>
  <c r="AA3" i="18"/>
  <c r="AB3" i="18"/>
  <c r="AC3" i="18"/>
  <c r="AD3" i="18"/>
  <c r="AE3" i="18"/>
  <c r="K4" i="18"/>
  <c r="U4" i="18"/>
  <c r="V4" i="18"/>
  <c r="W4" i="18"/>
  <c r="X4" i="18"/>
  <c r="Y4" i="18"/>
  <c r="Z4" i="18"/>
  <c r="AA4" i="18"/>
  <c r="AB4" i="18"/>
  <c r="AC4" i="18"/>
  <c r="AD4" i="18"/>
  <c r="AE4" i="18"/>
  <c r="F5" i="18"/>
  <c r="G5" i="18"/>
  <c r="H5" i="18"/>
  <c r="I5" i="18"/>
  <c r="K5" i="18"/>
  <c r="L5" i="18"/>
  <c r="M5" i="18"/>
  <c r="N5" i="18"/>
  <c r="O5" i="18"/>
  <c r="Q5" i="18"/>
  <c r="U5" i="18"/>
  <c r="V5" i="18"/>
  <c r="W5" i="18"/>
  <c r="X5" i="18"/>
  <c r="Y5" i="18"/>
  <c r="Z5" i="18"/>
  <c r="AA5" i="18"/>
  <c r="AB5" i="18"/>
  <c r="AC5" i="18"/>
  <c r="AD5" i="18"/>
  <c r="AE5" i="18"/>
  <c r="F6" i="18"/>
  <c r="G6" i="18"/>
  <c r="H6" i="18"/>
  <c r="I6" i="18"/>
  <c r="K6" i="18"/>
  <c r="L6" i="18"/>
  <c r="M6" i="18"/>
  <c r="N6" i="18"/>
  <c r="O6" i="18"/>
  <c r="P6" i="18"/>
  <c r="U6" i="18"/>
  <c r="V6" i="18"/>
  <c r="W6" i="18"/>
  <c r="X6" i="18"/>
  <c r="Y6" i="18"/>
  <c r="Z6" i="18"/>
  <c r="AA6" i="18"/>
  <c r="AB6" i="18"/>
  <c r="AC6" i="18"/>
  <c r="AD6" i="18"/>
  <c r="AE6" i="18"/>
  <c r="F7" i="18"/>
  <c r="G7" i="18"/>
  <c r="H7" i="18"/>
  <c r="I7" i="18"/>
  <c r="K7" i="18"/>
  <c r="L7" i="18"/>
  <c r="M7" i="18"/>
  <c r="N7" i="18"/>
  <c r="O7" i="18"/>
  <c r="P7" i="18"/>
  <c r="F8" i="18"/>
  <c r="G8" i="18"/>
  <c r="H8" i="18"/>
  <c r="I8" i="18"/>
  <c r="K8" i="18"/>
  <c r="L8" i="18"/>
  <c r="M8" i="18"/>
  <c r="N8" i="18"/>
  <c r="O8" i="18"/>
  <c r="P8" i="18"/>
  <c r="F9" i="18"/>
  <c r="G9" i="18"/>
  <c r="H9" i="18"/>
  <c r="I9" i="18"/>
  <c r="K9" i="18"/>
  <c r="L9" i="18"/>
  <c r="M9" i="18"/>
  <c r="N9" i="18"/>
  <c r="O9" i="18"/>
  <c r="P9" i="18"/>
  <c r="W9" i="18"/>
  <c r="X9" i="18"/>
  <c r="Y9" i="18"/>
  <c r="F10" i="18"/>
  <c r="G10" i="18"/>
  <c r="H10" i="18"/>
  <c r="I10" i="18"/>
  <c r="K10" i="18"/>
  <c r="L10" i="18"/>
  <c r="M10" i="18"/>
  <c r="N10" i="18"/>
  <c r="O10" i="18"/>
  <c r="P10" i="18"/>
  <c r="W10" i="18"/>
  <c r="X10" i="18"/>
  <c r="Y10" i="18"/>
  <c r="F11" i="18"/>
  <c r="G11" i="18"/>
  <c r="H11" i="18"/>
  <c r="I11" i="18"/>
  <c r="K11" i="18"/>
  <c r="L11" i="18"/>
  <c r="M11" i="18"/>
  <c r="N11" i="18"/>
  <c r="O11" i="18"/>
  <c r="P11" i="18"/>
  <c r="Q11" i="18"/>
  <c r="R11" i="18"/>
  <c r="W11" i="18"/>
  <c r="X11" i="18"/>
  <c r="Y11" i="18"/>
  <c r="F12" i="18"/>
  <c r="G12" i="18"/>
  <c r="H12" i="18"/>
  <c r="I12" i="18"/>
  <c r="K12" i="18"/>
  <c r="L12" i="18"/>
  <c r="M12" i="18"/>
  <c r="N12" i="18"/>
  <c r="O12" i="18"/>
  <c r="Q12" i="18"/>
  <c r="R12" i="18"/>
  <c r="W12" i="18"/>
  <c r="X12" i="18"/>
  <c r="Y12" i="18"/>
  <c r="F13" i="18"/>
  <c r="G13" i="18"/>
  <c r="H13" i="18"/>
  <c r="I13" i="18"/>
  <c r="K13" i="18"/>
  <c r="L13" i="18"/>
  <c r="M13" i="18"/>
  <c r="N13" i="18"/>
  <c r="O13" i="18"/>
  <c r="P13" i="18"/>
  <c r="W13" i="18"/>
  <c r="X13" i="18"/>
  <c r="Y13" i="18"/>
  <c r="F14" i="18"/>
  <c r="G14" i="18"/>
  <c r="H14" i="18"/>
  <c r="I14" i="18"/>
  <c r="K14" i="18"/>
  <c r="L14" i="18"/>
  <c r="M14" i="18"/>
  <c r="N14" i="18"/>
  <c r="O14" i="18"/>
  <c r="W14" i="18"/>
  <c r="X14" i="18"/>
  <c r="Y14" i="18"/>
  <c r="F15" i="18"/>
  <c r="G15" i="18"/>
  <c r="H15" i="18"/>
  <c r="I15" i="18"/>
  <c r="K15" i="18"/>
  <c r="L15" i="18"/>
  <c r="M15" i="18"/>
  <c r="N15" i="18"/>
  <c r="O15" i="18"/>
  <c r="Q15" i="18"/>
  <c r="R15" i="18"/>
  <c r="W15" i="18"/>
  <c r="X15" i="18"/>
  <c r="Y15" i="18"/>
  <c r="F16" i="18"/>
  <c r="G16" i="18"/>
  <c r="H16" i="18"/>
  <c r="I16" i="18"/>
  <c r="K16" i="18"/>
  <c r="L16" i="18"/>
  <c r="M16" i="18"/>
  <c r="N16" i="18"/>
  <c r="O16" i="18"/>
  <c r="P16" i="18"/>
  <c r="F17" i="18"/>
  <c r="G17" i="18"/>
  <c r="H17" i="18"/>
  <c r="I17" i="18"/>
  <c r="K17" i="18"/>
  <c r="L17" i="18"/>
  <c r="M17" i="18"/>
  <c r="N17" i="18"/>
  <c r="O17" i="18"/>
  <c r="Q17" i="18"/>
  <c r="R17" i="18"/>
  <c r="F18" i="18"/>
  <c r="G18" i="18"/>
  <c r="H18" i="18"/>
  <c r="I18" i="18"/>
  <c r="K18" i="18"/>
  <c r="L18" i="18"/>
  <c r="M18" i="18"/>
  <c r="N18" i="18"/>
  <c r="O18" i="18"/>
  <c r="Q18" i="18"/>
  <c r="R18" i="18"/>
  <c r="K19" i="18"/>
  <c r="L19" i="18"/>
  <c r="M19" i="18"/>
  <c r="F20" i="18"/>
  <c r="G20" i="18"/>
  <c r="H20" i="18"/>
  <c r="I20" i="18"/>
  <c r="K20" i="18"/>
  <c r="L20" i="18"/>
  <c r="M20" i="18"/>
  <c r="N20" i="18"/>
  <c r="O20" i="18"/>
  <c r="P20" i="18"/>
  <c r="F21" i="18"/>
  <c r="G21" i="18"/>
  <c r="H21" i="18"/>
  <c r="I21" i="18"/>
  <c r="K21" i="18"/>
  <c r="L21" i="18"/>
  <c r="M21" i="18"/>
  <c r="N21" i="18"/>
  <c r="O21" i="18"/>
  <c r="Q21" i="18"/>
  <c r="R21" i="18"/>
  <c r="F22" i="18"/>
  <c r="G22" i="18"/>
  <c r="H22" i="18"/>
  <c r="I22" i="18"/>
  <c r="K22" i="18"/>
  <c r="L22" i="18"/>
  <c r="M22" i="18"/>
  <c r="N22" i="18"/>
  <c r="O22" i="18"/>
  <c r="Q22" i="18"/>
  <c r="R22" i="18"/>
  <c r="F23" i="18"/>
  <c r="G23" i="18"/>
  <c r="H23" i="18"/>
  <c r="I23" i="18"/>
  <c r="K23" i="18"/>
  <c r="L23" i="18"/>
  <c r="M23" i="18"/>
  <c r="N23" i="18"/>
  <c r="O23" i="18"/>
  <c r="Q23" i="18"/>
  <c r="R23" i="18"/>
  <c r="F24" i="18"/>
  <c r="G24" i="18"/>
  <c r="H24" i="18"/>
  <c r="I24" i="18"/>
  <c r="K24" i="18"/>
  <c r="L24" i="18"/>
  <c r="M24" i="18"/>
  <c r="N24" i="18"/>
  <c r="O24" i="18"/>
  <c r="P24" i="18"/>
  <c r="Q24" i="18"/>
  <c r="F25" i="18"/>
  <c r="G25" i="18"/>
  <c r="H25" i="18"/>
  <c r="I25" i="18"/>
  <c r="K25" i="18"/>
  <c r="L25" i="18"/>
  <c r="M25" i="18"/>
  <c r="N25" i="18"/>
  <c r="O25" i="18"/>
  <c r="Q25" i="18"/>
  <c r="R25" i="18"/>
  <c r="F26" i="18"/>
  <c r="G26" i="18"/>
  <c r="H26" i="18"/>
  <c r="I26" i="18"/>
  <c r="K26" i="18"/>
  <c r="L26" i="18"/>
  <c r="M26" i="18"/>
  <c r="N26" i="18"/>
  <c r="O26" i="18"/>
  <c r="P26" i="18"/>
  <c r="F27" i="18"/>
  <c r="G27" i="18"/>
  <c r="H27" i="18"/>
  <c r="I27" i="18"/>
  <c r="K27" i="18"/>
  <c r="L27" i="18"/>
  <c r="M27" i="18"/>
  <c r="N27" i="18"/>
  <c r="O27" i="18"/>
  <c r="Q27" i="18"/>
  <c r="R27" i="18"/>
  <c r="A28" i="18"/>
  <c r="C28" i="18"/>
  <c r="D28" i="18"/>
  <c r="E28" i="18"/>
  <c r="L28" i="18"/>
  <c r="M28" i="18"/>
  <c r="C52" i="9"/>
  <c r="E52" i="9"/>
  <c r="L29" i="18"/>
  <c r="M29" i="18"/>
  <c r="L30" i="18"/>
  <c r="M30" i="18"/>
  <c r="L31" i="18"/>
  <c r="C91" i="18"/>
  <c r="M31" i="18"/>
  <c r="D91" i="18"/>
  <c r="D93" i="18"/>
  <c r="D96" i="18"/>
  <c r="B32" i="18"/>
  <c r="C32" i="18"/>
  <c r="D52" i="9"/>
  <c r="L32" i="18"/>
  <c r="M32" i="18"/>
  <c r="L33" i="18"/>
  <c r="M33" i="18"/>
  <c r="B34" i="18"/>
  <c r="L34" i="18"/>
  <c r="M34" i="18"/>
  <c r="L35" i="18"/>
  <c r="M35" i="18"/>
  <c r="C36" i="18"/>
  <c r="L36" i="18"/>
  <c r="M36" i="18"/>
  <c r="M37" i="18"/>
  <c r="M38" i="18"/>
  <c r="B63" i="18"/>
  <c r="C63" i="18"/>
  <c r="D63" i="18"/>
  <c r="C73" i="18"/>
  <c r="F73" i="18"/>
  <c r="F74" i="18"/>
  <c r="L74" i="18"/>
  <c r="M74" i="18"/>
  <c r="N74" i="18"/>
  <c r="D75" i="18"/>
  <c r="L75" i="18"/>
  <c r="M75" i="18"/>
  <c r="N75" i="18"/>
  <c r="C76" i="18"/>
  <c r="F78" i="18"/>
  <c r="E77" i="18"/>
  <c r="F77" i="18"/>
  <c r="C79" i="18"/>
  <c r="D79" i="18"/>
  <c r="E79" i="18"/>
  <c r="F79" i="18"/>
  <c r="C84" i="18"/>
  <c r="E84" i="18"/>
  <c r="D84" i="18"/>
  <c r="C86" i="18"/>
  <c r="D86" i="18"/>
  <c r="C89" i="18"/>
  <c r="D89" i="18"/>
  <c r="E89" i="18"/>
  <c r="F89" i="18"/>
  <c r="C92" i="18"/>
  <c r="D92" i="18"/>
  <c r="E92" i="18"/>
  <c r="F92" i="18"/>
  <c r="G92" i="18"/>
  <c r="D7" i="6"/>
  <c r="K12" i="6"/>
  <c r="L12" i="6"/>
  <c r="K13" i="6"/>
  <c r="L13" i="6"/>
  <c r="E14" i="6"/>
  <c r="K14" i="6"/>
  <c r="L14" i="6"/>
  <c r="K15" i="6"/>
  <c r="L15" i="6"/>
  <c r="K16" i="6"/>
  <c r="L16" i="6"/>
  <c r="K17" i="6"/>
  <c r="L17" i="6"/>
  <c r="K18" i="6"/>
  <c r="L18" i="6"/>
  <c r="K19" i="6"/>
  <c r="H20" i="6"/>
  <c r="D54" i="6"/>
  <c r="E54" i="6"/>
  <c r="C55" i="6"/>
  <c r="C56" i="6"/>
  <c r="B3" i="5"/>
  <c r="J4" i="5"/>
  <c r="C65" i="5"/>
  <c r="J7" i="5"/>
  <c r="J8" i="5"/>
  <c r="E29" i="18"/>
  <c r="D8" i="5"/>
  <c r="D25" i="9"/>
  <c r="D13" i="5"/>
  <c r="D13" i="20"/>
  <c r="D15" i="5"/>
  <c r="D15" i="20"/>
  <c r="D16" i="5"/>
  <c r="B19" i="5"/>
  <c r="A19" i="5"/>
  <c r="C59" i="5"/>
  <c r="J59" i="5"/>
  <c r="K59" i="5"/>
  <c r="M59" i="5"/>
  <c r="N59" i="5"/>
  <c r="J60" i="5"/>
  <c r="K60" i="5"/>
  <c r="M60" i="5"/>
  <c r="N60" i="5"/>
  <c r="C61" i="5"/>
  <c r="C62" i="5"/>
  <c r="C63" i="5"/>
  <c r="J61" i="5"/>
  <c r="K61" i="5"/>
  <c r="M61" i="5"/>
  <c r="N61" i="5"/>
  <c r="J62" i="5"/>
  <c r="K62" i="5"/>
  <c r="M62" i="5"/>
  <c r="N62" i="5"/>
  <c r="J63" i="5"/>
  <c r="K63" i="5"/>
  <c r="M63" i="5"/>
  <c r="N63" i="5"/>
  <c r="B70" i="5"/>
  <c r="C70" i="5"/>
  <c r="B77" i="5"/>
  <c r="C78" i="5"/>
  <c r="C79" i="5"/>
  <c r="B81" i="5"/>
  <c r="B82" i="5"/>
  <c r="B85" i="5"/>
  <c r="C85" i="5"/>
  <c r="C86" i="5"/>
  <c r="D86" i="5"/>
  <c r="A88" i="5"/>
  <c r="A17" i="5"/>
  <c r="B86" i="5"/>
  <c r="D3" i="22"/>
  <c r="H4" i="22"/>
  <c r="H5" i="22"/>
  <c r="H6" i="22"/>
  <c r="H7" i="22"/>
  <c r="H8" i="22"/>
  <c r="H9" i="22"/>
  <c r="H10" i="22"/>
  <c r="H11" i="22"/>
  <c r="H14" i="22"/>
  <c r="H15" i="22"/>
  <c r="H16" i="22"/>
  <c r="H17" i="22"/>
  <c r="H18" i="22"/>
  <c r="D19" i="22"/>
  <c r="H21" i="22"/>
  <c r="B22" i="22"/>
  <c r="H22" i="22"/>
  <c r="H23" i="22"/>
  <c r="H24" i="22"/>
  <c r="H25" i="22"/>
  <c r="I25" i="22"/>
  <c r="H26" i="22"/>
  <c r="H27" i="22"/>
  <c r="F28" i="22"/>
  <c r="H28" i="22"/>
  <c r="F29" i="22"/>
  <c r="H30" i="22"/>
  <c r="D35" i="22"/>
  <c r="D42" i="22"/>
  <c r="G42" i="22"/>
  <c r="H42" i="22"/>
  <c r="I42" i="22"/>
  <c r="D45" i="22"/>
  <c r="H60" i="22"/>
  <c r="B64" i="22"/>
  <c r="C64" i="22"/>
  <c r="D64" i="22"/>
  <c r="B65" i="22"/>
  <c r="C65" i="22"/>
  <c r="D65" i="22"/>
  <c r="F65" i="22"/>
  <c r="G65" i="22"/>
  <c r="H65" i="22"/>
  <c r="I65" i="22"/>
  <c r="J65" i="22"/>
  <c r="K65" i="22"/>
  <c r="L65" i="22"/>
  <c r="M65" i="22"/>
  <c r="B66" i="22"/>
  <c r="C66" i="22"/>
  <c r="D66" i="22"/>
  <c r="F66" i="22"/>
  <c r="G66" i="22"/>
  <c r="H66" i="22"/>
  <c r="I66" i="22"/>
  <c r="J66" i="22"/>
  <c r="K66" i="22"/>
  <c r="L66" i="22"/>
  <c r="M66" i="22"/>
  <c r="B67" i="22"/>
  <c r="C67" i="22"/>
  <c r="D67" i="22"/>
  <c r="F67" i="22"/>
  <c r="G67" i="22"/>
  <c r="H67" i="22"/>
  <c r="I67" i="22"/>
  <c r="J67" i="22"/>
  <c r="K67" i="22"/>
  <c r="L67" i="22"/>
  <c r="M67" i="22"/>
  <c r="B68" i="22"/>
  <c r="C68" i="22"/>
  <c r="D68" i="22"/>
  <c r="F68" i="22"/>
  <c r="G68" i="22"/>
  <c r="H68" i="22"/>
  <c r="I68" i="22"/>
  <c r="J68" i="22"/>
  <c r="M68" i="22"/>
  <c r="B69" i="22"/>
  <c r="C69" i="22"/>
  <c r="D69" i="22"/>
  <c r="F69" i="22"/>
  <c r="B70" i="22"/>
  <c r="C70" i="22"/>
  <c r="D70" i="22"/>
  <c r="F70" i="22"/>
  <c r="J70" i="22"/>
  <c r="M70" i="22"/>
  <c r="B71" i="22"/>
  <c r="C71" i="22"/>
  <c r="D71" i="22"/>
  <c r="C72" i="22"/>
  <c r="D72" i="22"/>
  <c r="F72" i="22"/>
  <c r="D77" i="22"/>
  <c r="D78" i="22"/>
  <c r="G78" i="22"/>
  <c r="D79" i="22"/>
  <c r="G79" i="22"/>
  <c r="D80" i="22"/>
  <c r="G80" i="22"/>
  <c r="D81" i="22"/>
  <c r="G81" i="22"/>
  <c r="D82" i="22"/>
  <c r="D83" i="22"/>
  <c r="D84" i="22"/>
  <c r="D85" i="22"/>
  <c r="G85" i="22"/>
  <c r="G86" i="22"/>
  <c r="D87" i="22"/>
  <c r="G87" i="22"/>
  <c r="D88" i="22"/>
  <c r="G88" i="22"/>
  <c r="D89" i="22"/>
  <c r="G89" i="22"/>
  <c r="D90" i="22"/>
  <c r="G90" i="22"/>
  <c r="G91" i="22"/>
  <c r="F84" i="18"/>
  <c r="C13" i="9"/>
  <c r="O37" i="18"/>
  <c r="C30" i="9"/>
  <c r="E30" i="9"/>
  <c r="E20" i="9"/>
  <c r="J4" i="20"/>
  <c r="F90" i="18"/>
  <c r="F94" i="18"/>
  <c r="O35" i="18"/>
  <c r="G90" i="18"/>
  <c r="F76" i="18"/>
  <c r="Z44" i="9"/>
  <c r="D8" i="20"/>
  <c r="F80" i="18"/>
  <c r="E73" i="18"/>
  <c r="E74" i="18"/>
  <c r="C74" i="18"/>
  <c r="U8" i="9"/>
  <c r="Q10" i="18"/>
  <c r="R10" i="18"/>
  <c r="U7" i="9"/>
  <c r="C9" i="9"/>
  <c r="C14" i="9"/>
  <c r="P15" i="18"/>
  <c r="C33" i="9"/>
  <c r="E33" i="9"/>
  <c r="C34" i="9"/>
  <c r="E34" i="9"/>
  <c r="C27" i="9"/>
  <c r="E27" i="9"/>
  <c r="E24" i="9"/>
  <c r="C25" i="9"/>
  <c r="E25" i="9"/>
  <c r="C32" i="9"/>
  <c r="E32" i="9"/>
  <c r="C36" i="9"/>
  <c r="E36" i="9"/>
  <c r="C45" i="9"/>
  <c r="C48" i="9"/>
  <c r="E48" i="9"/>
  <c r="F48" i="9"/>
  <c r="Z9" i="9"/>
  <c r="AA9" i="9"/>
  <c r="O23" i="5"/>
  <c r="C59" i="9"/>
  <c r="E59" i="9"/>
  <c r="F59" i="9"/>
  <c r="Z11" i="9"/>
  <c r="AA11" i="9"/>
  <c r="C39" i="9"/>
  <c r="C29" i="9"/>
  <c r="E29" i="9"/>
  <c r="E83" i="18"/>
  <c r="D36" i="18"/>
  <c r="BJ29" i="21"/>
  <c r="D73" i="18"/>
  <c r="D74" i="18"/>
  <c r="D45" i="9"/>
  <c r="J5" i="5"/>
  <c r="J5" i="20"/>
  <c r="D85" i="5"/>
  <c r="A87" i="5"/>
  <c r="P22" i="18"/>
  <c r="P17" i="18"/>
  <c r="C51" i="9"/>
  <c r="E51" i="9"/>
  <c r="Q13" i="18"/>
  <c r="R13" i="18"/>
  <c r="Q9" i="18"/>
  <c r="R9" i="18"/>
  <c r="Q8" i="18"/>
  <c r="R8" i="18"/>
  <c r="E45" i="9"/>
  <c r="U9" i="9"/>
  <c r="V9" i="9"/>
  <c r="F20" i="9"/>
  <c r="E44" i="9"/>
  <c r="G94" i="18"/>
  <c r="Z45" i="9"/>
  <c r="AB44" i="9"/>
  <c r="C40" i="9"/>
  <c r="E40" i="9"/>
  <c r="E39" i="9"/>
  <c r="C41" i="9"/>
  <c r="C28" i="9"/>
  <c r="E28" i="9"/>
  <c r="C16" i="9"/>
  <c r="C26" i="9"/>
  <c r="C43" i="9"/>
  <c r="E43" i="9"/>
  <c r="O25" i="20"/>
  <c r="O25" i="5"/>
  <c r="O15" i="20"/>
  <c r="O23" i="20"/>
  <c r="Z6" i="9"/>
  <c r="AA6" i="9"/>
  <c r="BK29" i="21"/>
  <c r="O15" i="5"/>
  <c r="AJ24" i="9"/>
  <c r="AJ21" i="9"/>
  <c r="AJ13" i="9"/>
  <c r="AJ20" i="9"/>
  <c r="AJ26" i="9"/>
  <c r="AJ17" i="9"/>
  <c r="AJ22" i="9"/>
  <c r="AJ16" i="9"/>
  <c r="AJ15" i="9"/>
  <c r="AJ23" i="9"/>
  <c r="AJ11" i="9"/>
  <c r="AJ12" i="9"/>
  <c r="AJ25" i="9"/>
  <c r="AJ10" i="9"/>
  <c r="AJ18" i="9"/>
  <c r="AJ14" i="9"/>
  <c r="AJ19" i="9"/>
  <c r="Z8" i="9"/>
  <c r="AA8" i="9"/>
  <c r="O22" i="20"/>
  <c r="D8" i="9"/>
  <c r="E8" i="9"/>
  <c r="O22" i="5"/>
  <c r="O20" i="20"/>
  <c r="O20" i="5"/>
  <c r="O14" i="20"/>
  <c r="O14" i="5"/>
  <c r="AF10" i="9"/>
  <c r="AH10" i="9"/>
  <c r="AI10" i="9"/>
  <c r="AE11" i="9"/>
  <c r="AG10" i="9"/>
  <c r="D13" i="9"/>
  <c r="E13" i="9"/>
  <c r="AA32" i="9"/>
  <c r="AB43" i="9"/>
  <c r="AA45" i="9"/>
  <c r="AB34" i="9"/>
  <c r="AB30" i="9"/>
  <c r="D53" i="6"/>
  <c r="E53" i="6"/>
  <c r="D32" i="6"/>
  <c r="D41" i="9"/>
  <c r="E41" i="9"/>
  <c r="Z37" i="9"/>
  <c r="Z32" i="9"/>
  <c r="AE12" i="9"/>
  <c r="AG11" i="9"/>
  <c r="AI11" i="9"/>
  <c r="AF11" i="9"/>
  <c r="AH11" i="9"/>
  <c r="AB32" i="9"/>
  <c r="D6" i="9"/>
  <c r="E6" i="9"/>
  <c r="E9" i="9"/>
  <c r="F9" i="9"/>
  <c r="D7" i="9"/>
  <c r="E7" i="9"/>
  <c r="AB37" i="9"/>
  <c r="AB45" i="9"/>
  <c r="D15" i="9"/>
  <c r="E15" i="9"/>
  <c r="E16" i="9"/>
  <c r="F16" i="9"/>
  <c r="AK10" i="9"/>
  <c r="G21" i="9"/>
  <c r="E26" i="9"/>
  <c r="W9" i="9"/>
  <c r="AK11" i="9"/>
  <c r="AE13" i="9"/>
  <c r="AG12" i="9"/>
  <c r="AK12" i="9"/>
  <c r="AF12" i="9"/>
  <c r="AH12" i="9"/>
  <c r="AI12" i="9"/>
  <c r="O16" i="20"/>
  <c r="O16" i="5"/>
  <c r="AE14" i="9"/>
  <c r="AH13" i="9"/>
  <c r="AF13" i="9"/>
  <c r="AG13" i="9"/>
  <c r="AK13" i="9"/>
  <c r="AI13" i="9"/>
  <c r="D26" i="9"/>
  <c r="E46" i="9"/>
  <c r="F46" i="9"/>
  <c r="Z7" i="9"/>
  <c r="O3" i="5"/>
  <c r="O3" i="20"/>
  <c r="AA7" i="9"/>
  <c r="O7" i="20"/>
  <c r="O7" i="5"/>
  <c r="AH14" i="9"/>
  <c r="AF14" i="9"/>
  <c r="AG14" i="9"/>
  <c r="AE15" i="9"/>
  <c r="AI14" i="9"/>
  <c r="O21" i="20"/>
  <c r="O21" i="5"/>
  <c r="AE16" i="9"/>
  <c r="AI15" i="9"/>
  <c r="AH15" i="9"/>
  <c r="AF15" i="9"/>
  <c r="AG15" i="9"/>
  <c r="AK15" i="9"/>
  <c r="AK14" i="9"/>
  <c r="AI16" i="9"/>
  <c r="AF16" i="9"/>
  <c r="AE17" i="9"/>
  <c r="AG16" i="9"/>
  <c r="AK16" i="9"/>
  <c r="AH16" i="9"/>
  <c r="AI17" i="9"/>
  <c r="AG17" i="9"/>
  <c r="AH17" i="9"/>
  <c r="AF17" i="9"/>
  <c r="AE18" i="9"/>
  <c r="AK17" i="9"/>
  <c r="AF18" i="9"/>
  <c r="AE19" i="9"/>
  <c r="AH18" i="9"/>
  <c r="AG18" i="9"/>
  <c r="AI18" i="9"/>
  <c r="AE20" i="9"/>
  <c r="AF19" i="9"/>
  <c r="AI19" i="9"/>
  <c r="AG19" i="9"/>
  <c r="AK19" i="9"/>
  <c r="AH19" i="9"/>
  <c r="AK18" i="9"/>
  <c r="AG20" i="9"/>
  <c r="AF20" i="9"/>
  <c r="AI20" i="9"/>
  <c r="AE21" i="9"/>
  <c r="AH20" i="9"/>
  <c r="AE22" i="9"/>
  <c r="AG21" i="9"/>
  <c r="AI21" i="9"/>
  <c r="AF21" i="9"/>
  <c r="AH21" i="9"/>
  <c r="AK20" i="9"/>
  <c r="AK21" i="9"/>
  <c r="AF22" i="9"/>
  <c r="AH22" i="9"/>
  <c r="AG22" i="9"/>
  <c r="AK22" i="9"/>
  <c r="AE23" i="9"/>
  <c r="AI22" i="9"/>
  <c r="AF23" i="9"/>
  <c r="AE24" i="9"/>
  <c r="AI23" i="9"/>
  <c r="AG23" i="9"/>
  <c r="AK23" i="9"/>
  <c r="AH23" i="9"/>
  <c r="AH24" i="9"/>
  <c r="AF24" i="9"/>
  <c r="AG24" i="9"/>
  <c r="AK24" i="9"/>
  <c r="AE25" i="9"/>
  <c r="AI24" i="9"/>
  <c r="AF25" i="9"/>
  <c r="AG25" i="9"/>
  <c r="AE26" i="9"/>
  <c r="AI25" i="9"/>
  <c r="AH25" i="9"/>
  <c r="AI26" i="9"/>
  <c r="AH26" i="9"/>
  <c r="AF26" i="9"/>
  <c r="AG26" i="9"/>
  <c r="AK26" i="9"/>
  <c r="AK25" i="9"/>
  <c r="Q7" i="18"/>
  <c r="R7" i="18"/>
  <c r="P21" i="18"/>
  <c r="AY12" i="21"/>
  <c r="AY25" i="21"/>
  <c r="AY32" i="21"/>
  <c r="AU25" i="21"/>
  <c r="AU32" i="21"/>
  <c r="AM12" i="21"/>
  <c r="AM32" i="21"/>
  <c r="AI12" i="21"/>
  <c r="AI25" i="21"/>
  <c r="AI32" i="21"/>
  <c r="AE25" i="21"/>
  <c r="AE32" i="21"/>
  <c r="AA12" i="21"/>
  <c r="AA32" i="21"/>
  <c r="V8" i="21"/>
  <c r="V12" i="21"/>
  <c r="V13" i="21"/>
  <c r="V15" i="21"/>
  <c r="V24" i="21"/>
  <c r="V31" i="21"/>
  <c r="V17" i="21"/>
  <c r="V26" i="21"/>
  <c r="V32" i="21"/>
  <c r="R8" i="21"/>
  <c r="R26" i="21"/>
  <c r="R30" i="21"/>
  <c r="R34" i="21"/>
  <c r="R15" i="21"/>
  <c r="R16" i="21"/>
  <c r="R22" i="21"/>
  <c r="R32" i="21"/>
  <c r="N13" i="21"/>
  <c r="N14" i="21"/>
  <c r="N21" i="21"/>
  <c r="N22" i="21"/>
  <c r="N25" i="21"/>
  <c r="N8" i="21"/>
  <c r="N17" i="21"/>
  <c r="N24" i="21"/>
  <c r="N34" i="21"/>
  <c r="J8" i="21"/>
  <c r="J12" i="21"/>
  <c r="J15" i="21"/>
  <c r="J24" i="21"/>
  <c r="J31" i="21"/>
  <c r="J32" i="21"/>
  <c r="J14" i="21"/>
  <c r="J21" i="21"/>
  <c r="J25" i="21"/>
  <c r="J26" i="21"/>
  <c r="J30" i="21"/>
  <c r="F8" i="21"/>
  <c r="F13" i="21"/>
  <c r="F30" i="21"/>
  <c r="F12" i="21"/>
  <c r="F16" i="21"/>
  <c r="F22" i="21"/>
  <c r="F32" i="21"/>
  <c r="B8" i="21"/>
  <c r="B31" i="21"/>
  <c r="B34" i="21"/>
  <c r="B17" i="21"/>
  <c r="B24" i="21"/>
  <c r="AQ35" i="21"/>
  <c r="AM35" i="21"/>
  <c r="AI35" i="21"/>
  <c r="AE35" i="21"/>
  <c r="AA35" i="21"/>
  <c r="V35" i="21"/>
  <c r="R35" i="21"/>
  <c r="N35" i="21"/>
  <c r="J35" i="21"/>
  <c r="F35" i="21"/>
  <c r="B35" i="21"/>
  <c r="V34" i="21"/>
  <c r="F34" i="21"/>
  <c r="F26" i="21"/>
  <c r="AM25" i="21"/>
  <c r="B22" i="21"/>
  <c r="V14" i="21"/>
  <c r="F14" i="21"/>
  <c r="J13" i="21"/>
  <c r="R12" i="21"/>
  <c r="BB8" i="21"/>
  <c r="BB13" i="21"/>
  <c r="BB15" i="21"/>
  <c r="BB32" i="21"/>
  <c r="BB30" i="21"/>
  <c r="BB31" i="21"/>
  <c r="BB33" i="21"/>
  <c r="BB34" i="21"/>
  <c r="BB35" i="21"/>
  <c r="AX8" i="21"/>
  <c r="AX12" i="21"/>
  <c r="AX14" i="21"/>
  <c r="AX16" i="21"/>
  <c r="AX21" i="21"/>
  <c r="AX22" i="21"/>
  <c r="AX23" i="21"/>
  <c r="AX24" i="21"/>
  <c r="AX32" i="21"/>
  <c r="AX15" i="21"/>
  <c r="AX17" i="21"/>
  <c r="AX33" i="21"/>
  <c r="AX35" i="21"/>
  <c r="AT13" i="21"/>
  <c r="AT15" i="21"/>
  <c r="AT32" i="21"/>
  <c r="AT12" i="21"/>
  <c r="AP8" i="21"/>
  <c r="AP14" i="21"/>
  <c r="AP15" i="21"/>
  <c r="AP21" i="21"/>
  <c r="AP26" i="21"/>
  <c r="AP31" i="21"/>
  <c r="AP32" i="21"/>
  <c r="AP17" i="21"/>
  <c r="AP25" i="21"/>
  <c r="AP30" i="21"/>
  <c r="AP34" i="21"/>
  <c r="AL13" i="21"/>
  <c r="AL30" i="21"/>
  <c r="AL32" i="21"/>
  <c r="AL14" i="21"/>
  <c r="AL16" i="21"/>
  <c r="AL21" i="21"/>
  <c r="AL22" i="21"/>
  <c r="AL24" i="21"/>
  <c r="AH17" i="21"/>
  <c r="AH24" i="21"/>
  <c r="AH31" i="21"/>
  <c r="AH32" i="21"/>
  <c r="AH8" i="21"/>
  <c r="AH12" i="21"/>
  <c r="AH26" i="21"/>
  <c r="AD8" i="21"/>
  <c r="AD13" i="21"/>
  <c r="AD15" i="21"/>
  <c r="AD16" i="21"/>
  <c r="AD25" i="21"/>
  <c r="AD32" i="21"/>
  <c r="AD34" i="21"/>
  <c r="AD30" i="21"/>
  <c r="AD31" i="21"/>
  <c r="Z8" i="21"/>
  <c r="Z14" i="21"/>
  <c r="Z21" i="21"/>
  <c r="Z22" i="21"/>
  <c r="Z32" i="21"/>
  <c r="Z16" i="21"/>
  <c r="Z24" i="21"/>
  <c r="Z25" i="21"/>
  <c r="Z34" i="21"/>
  <c r="U17" i="21"/>
  <c r="U32" i="21"/>
  <c r="U14" i="21"/>
  <c r="U21" i="21"/>
  <c r="U25" i="21"/>
  <c r="Q15" i="21"/>
  <c r="Q16" i="21"/>
  <c r="Q32" i="21"/>
  <c r="Q12" i="21"/>
  <c r="Q13" i="21"/>
  <c r="Q31" i="21"/>
  <c r="M17" i="21"/>
  <c r="M34" i="21"/>
  <c r="M15" i="21"/>
  <c r="M16" i="21"/>
  <c r="M32" i="21"/>
  <c r="I8" i="21"/>
  <c r="I14" i="21"/>
  <c r="I21" i="21"/>
  <c r="I25" i="21"/>
  <c r="I13" i="21"/>
  <c r="I17" i="21"/>
  <c r="I34" i="21"/>
  <c r="E22" i="21"/>
  <c r="E12" i="21"/>
  <c r="E16" i="21"/>
  <c r="E32" i="21"/>
  <c r="E14" i="21"/>
  <c r="E15" i="21"/>
  <c r="E21" i="21"/>
  <c r="E25" i="21"/>
  <c r="E31" i="21"/>
  <c r="Q26" i="18"/>
  <c r="R26" i="18"/>
  <c r="V14" i="18"/>
  <c r="G19" i="18"/>
  <c r="BC25" i="21"/>
  <c r="BC32" i="21"/>
  <c r="P12" i="18"/>
  <c r="U10" i="18"/>
  <c r="P25" i="18"/>
  <c r="Q6" i="18"/>
  <c r="R6" i="18"/>
  <c r="AU35" i="21"/>
  <c r="AQ33" i="21"/>
  <c r="AM33" i="21"/>
  <c r="AI33" i="21"/>
  <c r="AE33" i="21"/>
  <c r="AA33" i="21"/>
  <c r="V33" i="21"/>
  <c r="R33" i="21"/>
  <c r="N33" i="21"/>
  <c r="J33" i="21"/>
  <c r="F33" i="21"/>
  <c r="B33" i="21"/>
  <c r="R31" i="21"/>
  <c r="V30" i="21"/>
  <c r="B26" i="21"/>
  <c r="V25" i="21"/>
  <c r="F25" i="21"/>
  <c r="F24" i="21"/>
  <c r="V21" i="21"/>
  <c r="F21" i="21"/>
  <c r="J17" i="21"/>
  <c r="N16" i="21"/>
  <c r="B16" i="21"/>
  <c r="F15" i="21"/>
  <c r="BC12" i="21"/>
  <c r="AU12" i="21"/>
  <c r="AE12" i="21"/>
  <c r="AT30" i="21"/>
  <c r="AT21" i="21"/>
  <c r="C93" i="18"/>
  <c r="C96" i="18"/>
  <c r="G91" i="18"/>
  <c r="G95" i="18"/>
  <c r="X8" i="21"/>
  <c r="X12" i="21"/>
  <c r="X16" i="21"/>
  <c r="X25" i="21"/>
  <c r="X31" i="21"/>
  <c r="X13" i="21"/>
  <c r="X15" i="21"/>
  <c r="X22" i="21"/>
  <c r="X30" i="21"/>
  <c r="X14" i="21"/>
  <c r="X17" i="21"/>
  <c r="X32" i="21"/>
  <c r="X34" i="21"/>
  <c r="X21" i="21"/>
  <c r="X33" i="21"/>
  <c r="X26" i="21"/>
  <c r="X23" i="21"/>
  <c r="X24" i="21"/>
  <c r="X35" i="21"/>
  <c r="P23" i="18"/>
  <c r="U13" i="18"/>
  <c r="P27" i="18"/>
  <c r="U14" i="18"/>
  <c r="P5" i="18"/>
  <c r="C34" i="18"/>
  <c r="C33" i="18"/>
  <c r="I19" i="18"/>
  <c r="AT35" i="21"/>
  <c r="AT34" i="21"/>
  <c r="BD8" i="21"/>
  <c r="BD12" i="21"/>
  <c r="BD16" i="21"/>
  <c r="BD22" i="21"/>
  <c r="BD31" i="21"/>
  <c r="BD13" i="21"/>
  <c r="BD15" i="21"/>
  <c r="BD21" i="21"/>
  <c r="BD24" i="21"/>
  <c r="BD30" i="21"/>
  <c r="AZ8" i="21"/>
  <c r="AZ12" i="21"/>
  <c r="AZ17" i="21"/>
  <c r="AZ26" i="21"/>
  <c r="AZ13" i="21"/>
  <c r="AZ16" i="21"/>
  <c r="AZ21" i="21"/>
  <c r="AV8" i="21"/>
  <c r="AV12" i="21"/>
  <c r="AV14" i="21"/>
  <c r="AV22" i="21"/>
  <c r="AV13" i="21"/>
  <c r="AV17" i="21"/>
  <c r="AV21" i="21"/>
  <c r="AV24" i="21"/>
  <c r="AV30" i="21"/>
  <c r="AR8" i="21"/>
  <c r="AR12" i="21"/>
  <c r="AR15" i="21"/>
  <c r="AR24" i="21"/>
  <c r="AR25" i="21"/>
  <c r="AR13" i="21"/>
  <c r="AR26" i="21"/>
  <c r="AN8" i="21"/>
  <c r="AN12" i="21"/>
  <c r="AN16" i="21"/>
  <c r="AN25" i="21"/>
  <c r="AN31" i="21"/>
  <c r="AN13" i="21"/>
  <c r="AN15" i="21"/>
  <c r="AN22" i="21"/>
  <c r="AN30" i="21"/>
  <c r="AJ8" i="21"/>
  <c r="AJ12" i="21"/>
  <c r="AJ17" i="21"/>
  <c r="AJ24" i="21"/>
  <c r="AJ25" i="21"/>
  <c r="AJ13" i="21"/>
  <c r="AJ16" i="21"/>
  <c r="AJ26" i="21"/>
  <c r="AJ31" i="21"/>
  <c r="AF8" i="21"/>
  <c r="AF12" i="21"/>
  <c r="AF25" i="21"/>
  <c r="AF13" i="21"/>
  <c r="AF17" i="21"/>
  <c r="AF22" i="21"/>
  <c r="AF30" i="21"/>
  <c r="AB8" i="21"/>
  <c r="AB12" i="21"/>
  <c r="AB15" i="21"/>
  <c r="AB24" i="21"/>
  <c r="AB25" i="21"/>
  <c r="AB13" i="21"/>
  <c r="AB26" i="21"/>
  <c r="T8" i="21"/>
  <c r="T12" i="21"/>
  <c r="T17" i="21"/>
  <c r="T24" i="21"/>
  <c r="T25" i="21"/>
  <c r="T13" i="21"/>
  <c r="T16" i="21"/>
  <c r="T26" i="21"/>
  <c r="T31" i="21"/>
  <c r="P8" i="21"/>
  <c r="P12" i="21"/>
  <c r="P25" i="21"/>
  <c r="P13" i="21"/>
  <c r="P17" i="21"/>
  <c r="P22" i="21"/>
  <c r="P30" i="21"/>
  <c r="L8" i="21"/>
  <c r="L12" i="21"/>
  <c r="L15" i="21"/>
  <c r="L24" i="21"/>
  <c r="L25" i="21"/>
  <c r="L32" i="21"/>
  <c r="L13" i="21"/>
  <c r="L26" i="21"/>
  <c r="H8" i="21"/>
  <c r="H12" i="21"/>
  <c r="H16" i="21"/>
  <c r="H25" i="21"/>
  <c r="H31" i="21"/>
  <c r="H13" i="21"/>
  <c r="H15" i="21"/>
  <c r="H22" i="21"/>
  <c r="H30" i="21"/>
  <c r="D8" i="21"/>
  <c r="D12" i="21"/>
  <c r="D17" i="21"/>
  <c r="D24" i="21"/>
  <c r="D25" i="21"/>
  <c r="D13" i="21"/>
  <c r="D16" i="21"/>
  <c r="D26" i="21"/>
  <c r="D31" i="21"/>
  <c r="X7" i="21"/>
  <c r="X10" i="21"/>
  <c r="X19" i="21"/>
  <c r="X28" i="21"/>
  <c r="X6" i="21"/>
  <c r="F19" i="18"/>
  <c r="X20" i="21"/>
  <c r="P18" i="18"/>
  <c r="V13" i="18"/>
  <c r="H19" i="18"/>
  <c r="Q16" i="18"/>
  <c r="R16" i="18"/>
  <c r="X29" i="21"/>
  <c r="BC13" i="21"/>
  <c r="BC21" i="21"/>
  <c r="BC23" i="21"/>
  <c r="AY13" i="21"/>
  <c r="AY21" i="21"/>
  <c r="AY23" i="21"/>
  <c r="AU13" i="21"/>
  <c r="AU21" i="21"/>
  <c r="AU23" i="21"/>
  <c r="AQ13" i="21"/>
  <c r="AQ14" i="21"/>
  <c r="AQ21" i="21"/>
  <c r="AM13" i="21"/>
  <c r="AM14" i="21"/>
  <c r="AM21" i="21"/>
  <c r="AI13" i="21"/>
  <c r="AI14" i="21"/>
  <c r="AI21" i="21"/>
  <c r="AE13" i="21"/>
  <c r="AE14" i="21"/>
  <c r="AE21" i="21"/>
  <c r="AA13" i="21"/>
  <c r="AA14" i="21"/>
  <c r="AA21" i="21"/>
  <c r="W13" i="21"/>
  <c r="W14" i="21"/>
  <c r="W21" i="21"/>
  <c r="S13" i="21"/>
  <c r="S14" i="21"/>
  <c r="S21" i="21"/>
  <c r="O13" i="21"/>
  <c r="O14" i="21"/>
  <c r="O21" i="21"/>
  <c r="K13" i="21"/>
  <c r="K14" i="21"/>
  <c r="K21" i="21"/>
  <c r="G13" i="21"/>
  <c r="G14" i="21"/>
  <c r="G21" i="21"/>
  <c r="C13" i="21"/>
  <c r="BE13" i="21"/>
  <c r="C14" i="21"/>
  <c r="C21" i="21"/>
  <c r="V10" i="18"/>
  <c r="U9" i="18"/>
  <c r="P14" i="18"/>
  <c r="U11" i="18"/>
  <c r="Q14" i="18"/>
  <c r="R14" i="18"/>
  <c r="V11" i="18"/>
  <c r="D51" i="9"/>
  <c r="B33" i="18"/>
  <c r="C83" i="18"/>
  <c r="B36" i="18"/>
  <c r="E36" i="18"/>
  <c r="D83" i="18"/>
  <c r="R5" i="18"/>
  <c r="V9" i="18"/>
  <c r="AT22" i="21"/>
  <c r="Q20" i="18"/>
  <c r="R20" i="18"/>
  <c r="BC24" i="21"/>
  <c r="BC8" i="21"/>
  <c r="BC22" i="21"/>
  <c r="BC26" i="21"/>
  <c r="BC30" i="21"/>
  <c r="BC34" i="21"/>
  <c r="BC14" i="21"/>
  <c r="BC15" i="21"/>
  <c r="BC16" i="21"/>
  <c r="BC17" i="21"/>
  <c r="BC31" i="21"/>
  <c r="AY24" i="21"/>
  <c r="AY8" i="21"/>
  <c r="AY22" i="21"/>
  <c r="AY26" i="21"/>
  <c r="AY30" i="21"/>
  <c r="AY34" i="21"/>
  <c r="AY14" i="21"/>
  <c r="AY15" i="21"/>
  <c r="AY16" i="21"/>
  <c r="AY17" i="21"/>
  <c r="AY31" i="21"/>
  <c r="AU24" i="21"/>
  <c r="AU8" i="21"/>
  <c r="AU22" i="21"/>
  <c r="AU26" i="21"/>
  <c r="AU30" i="21"/>
  <c r="AU34" i="21"/>
  <c r="AU14" i="21"/>
  <c r="AU15" i="21"/>
  <c r="AU16" i="21"/>
  <c r="AU17" i="21"/>
  <c r="AU31" i="21"/>
  <c r="AQ24" i="21"/>
  <c r="AQ8" i="21"/>
  <c r="AQ22" i="21"/>
  <c r="AQ26" i="21"/>
  <c r="AQ30" i="21"/>
  <c r="AQ34" i="21"/>
  <c r="AQ15" i="21"/>
  <c r="AQ16" i="21"/>
  <c r="AQ17" i="21"/>
  <c r="AQ31" i="21"/>
  <c r="AM24" i="21"/>
  <c r="AM8" i="21"/>
  <c r="AM22" i="21"/>
  <c r="AM26" i="21"/>
  <c r="AM30" i="21"/>
  <c r="AM34" i="21"/>
  <c r="AM15" i="21"/>
  <c r="AM16" i="21"/>
  <c r="AM17" i="21"/>
  <c r="AM31" i="21"/>
  <c r="AI24" i="21"/>
  <c r="AI8" i="21"/>
  <c r="AI22" i="21"/>
  <c r="AI26" i="21"/>
  <c r="AI30" i="21"/>
  <c r="AI34" i="21"/>
  <c r="AI15" i="21"/>
  <c r="AI16" i="21"/>
  <c r="AI17" i="21"/>
  <c r="AI31" i="21"/>
  <c r="AE24" i="21"/>
  <c r="AE8" i="21"/>
  <c r="AE22" i="21"/>
  <c r="AE26" i="21"/>
  <c r="AE30" i="21"/>
  <c r="AE34" i="21"/>
  <c r="AE15" i="21"/>
  <c r="AE16" i="21"/>
  <c r="AE17" i="21"/>
  <c r="AE31" i="21"/>
  <c r="AA24" i="21"/>
  <c r="AA8" i="21"/>
  <c r="AA22" i="21"/>
  <c r="AA26" i="21"/>
  <c r="AA30" i="21"/>
  <c r="AA34" i="21"/>
  <c r="AA15" i="21"/>
  <c r="AA16" i="21"/>
  <c r="AA17" i="21"/>
  <c r="AA31" i="21"/>
  <c r="W24" i="21"/>
  <c r="W8" i="21"/>
  <c r="W22" i="21"/>
  <c r="W26" i="21"/>
  <c r="W30" i="21"/>
  <c r="W34" i="21"/>
  <c r="W15" i="21"/>
  <c r="W16" i="21"/>
  <c r="W17" i="21"/>
  <c r="W31" i="21"/>
  <c r="S24" i="21"/>
  <c r="S8" i="21"/>
  <c r="S22" i="21"/>
  <c r="S26" i="21"/>
  <c r="S30" i="21"/>
  <c r="S34" i="21"/>
  <c r="S15" i="21"/>
  <c r="S16" i="21"/>
  <c r="S17" i="21"/>
  <c r="S31" i="21"/>
  <c r="O24" i="21"/>
  <c r="O8" i="21"/>
  <c r="O22" i="21"/>
  <c r="O26" i="21"/>
  <c r="O30" i="21"/>
  <c r="O32" i="21"/>
  <c r="O34" i="21"/>
  <c r="O15" i="21"/>
  <c r="O16" i="21"/>
  <c r="O17" i="21"/>
  <c r="O31" i="21"/>
  <c r="K24" i="21"/>
  <c r="K8" i="21"/>
  <c r="K22" i="21"/>
  <c r="K26" i="21"/>
  <c r="K30" i="21"/>
  <c r="K32" i="21"/>
  <c r="K34" i="21"/>
  <c r="K15" i="21"/>
  <c r="K16" i="21"/>
  <c r="K17" i="21"/>
  <c r="K31" i="21"/>
  <c r="G24" i="21"/>
  <c r="G8" i="21"/>
  <c r="G22" i="21"/>
  <c r="G26" i="21"/>
  <c r="G30" i="21"/>
  <c r="G32" i="21"/>
  <c r="G34" i="21"/>
  <c r="G15" i="21"/>
  <c r="G16" i="21"/>
  <c r="G17" i="21"/>
  <c r="G31" i="21"/>
  <c r="C24" i="21"/>
  <c r="C8" i="21"/>
  <c r="C22" i="21"/>
  <c r="C26" i="21"/>
  <c r="C30" i="21"/>
  <c r="C32" i="21"/>
  <c r="C34" i="21"/>
  <c r="C15" i="21"/>
  <c r="C16" i="21"/>
  <c r="C17" i="21"/>
  <c r="C31" i="21"/>
  <c r="BA22" i="21"/>
  <c r="BA26" i="21"/>
  <c r="BA30" i="21"/>
  <c r="BA24" i="21"/>
  <c r="AW22" i="21"/>
  <c r="AW26" i="21"/>
  <c r="AW30" i="21"/>
  <c r="AW24" i="21"/>
  <c r="AS22" i="21"/>
  <c r="AS26" i="21"/>
  <c r="AS30" i="21"/>
  <c r="AS24" i="21"/>
  <c r="AO22" i="21"/>
  <c r="AO26" i="21"/>
  <c r="AO30" i="21"/>
  <c r="AO24" i="21"/>
  <c r="AK22" i="21"/>
  <c r="AK26" i="21"/>
  <c r="AK30" i="21"/>
  <c r="AK24" i="21"/>
  <c r="AG22" i="21"/>
  <c r="AG26" i="21"/>
  <c r="AG30" i="21"/>
  <c r="AG24" i="21"/>
  <c r="AC22" i="21"/>
  <c r="AC26" i="21"/>
  <c r="AC30" i="21"/>
  <c r="AC24" i="21"/>
  <c r="Y22" i="21"/>
  <c r="Y26" i="21"/>
  <c r="Y30" i="21"/>
  <c r="Y24" i="21"/>
  <c r="U22" i="21"/>
  <c r="U26" i="21"/>
  <c r="U30" i="21"/>
  <c r="U24" i="21"/>
  <c r="Q22" i="21"/>
  <c r="Q26" i="21"/>
  <c r="Q30" i="21"/>
  <c r="Q24" i="21"/>
  <c r="M22" i="21"/>
  <c r="M26" i="21"/>
  <c r="M30" i="21"/>
  <c r="M24" i="21"/>
  <c r="I22" i="21"/>
  <c r="I26" i="21"/>
  <c r="I30" i="21"/>
  <c r="I24" i="21"/>
  <c r="BA8" i="21"/>
  <c r="AS8" i="21"/>
  <c r="AK8" i="21"/>
  <c r="AC8" i="21"/>
  <c r="U8" i="21"/>
  <c r="M8" i="21"/>
  <c r="E24" i="21"/>
  <c r="E30" i="21"/>
  <c r="E26" i="21"/>
  <c r="AT16" i="21"/>
  <c r="BE35" i="21"/>
  <c r="BE33" i="21"/>
  <c r="BE15" i="21"/>
  <c r="BF15" i="21"/>
  <c r="BH15" i="21"/>
  <c r="BE22" i="21"/>
  <c r="BI13" i="21"/>
  <c r="G93" i="18"/>
  <c r="G96" i="18"/>
  <c r="AT17" i="21"/>
  <c r="BE21" i="21"/>
  <c r="BF21" i="21"/>
  <c r="BI12" i="21"/>
  <c r="BE12" i="21"/>
  <c r="BF12" i="21"/>
  <c r="BH12" i="21"/>
  <c r="BE30" i="21"/>
  <c r="AT14" i="21"/>
  <c r="BE14" i="21"/>
  <c r="BF14" i="21"/>
  <c r="BH14" i="21"/>
  <c r="BE32" i="21"/>
  <c r="BF32" i="21"/>
  <c r="BJ14" i="21"/>
  <c r="BE34" i="21"/>
  <c r="BJ11" i="21"/>
  <c r="BF13" i="21"/>
  <c r="BH13" i="21"/>
  <c r="C75" i="18"/>
  <c r="F83" i="18"/>
  <c r="F81" i="18"/>
  <c r="BE31" i="21"/>
  <c r="BF35" i="21"/>
  <c r="BJ17" i="21"/>
  <c r="BM17" i="21"/>
  <c r="BN17" i="21"/>
  <c r="AT25" i="21"/>
  <c r="BE25" i="21"/>
  <c r="BF25" i="21"/>
  <c r="BI16" i="21"/>
  <c r="AT23" i="21"/>
  <c r="BE23" i="21"/>
  <c r="BF23" i="21"/>
  <c r="BI14" i="21"/>
  <c r="AT24" i="21"/>
  <c r="BE24" i="21"/>
  <c r="AT26" i="21"/>
  <c r="BE26" i="21"/>
  <c r="BE17" i="21"/>
  <c r="BF17" i="21"/>
  <c r="BH17" i="21"/>
  <c r="BE16" i="21"/>
  <c r="BF16" i="21"/>
  <c r="BH16" i="21"/>
  <c r="BI11" i="21"/>
  <c r="BF26" i="21"/>
  <c r="BI17" i="21"/>
  <c r="BF22" i="21"/>
  <c r="BF24" i="21"/>
  <c r="BI15" i="21"/>
  <c r="BH11" i="21"/>
  <c r="BF33" i="21"/>
  <c r="BJ15" i="21"/>
  <c r="BM15" i="21"/>
  <c r="BN15" i="21"/>
  <c r="O33" i="18"/>
  <c r="BF34" i="21"/>
  <c r="BJ16" i="21"/>
  <c r="BM16" i="21"/>
  <c r="BN16" i="21"/>
  <c r="BH31" i="21"/>
  <c r="BM14" i="21"/>
  <c r="BN14" i="21"/>
  <c r="O31" i="18"/>
  <c r="N31" i="18"/>
  <c r="E91" i="18"/>
  <c r="E93" i="18"/>
  <c r="N33" i="18"/>
  <c r="BF31" i="21"/>
  <c r="BJ13" i="21"/>
  <c r="K71" i="18"/>
  <c r="BM11" i="21"/>
  <c r="BN11" i="21"/>
  <c r="E32" i="18"/>
  <c r="D32" i="18"/>
  <c r="D53" i="9"/>
  <c r="C77" i="18"/>
  <c r="BF30" i="21"/>
  <c r="BJ12" i="21"/>
  <c r="D76" i="18"/>
  <c r="C78" i="18"/>
  <c r="J18" i="20"/>
  <c r="J18" i="5"/>
  <c r="D34" i="18"/>
  <c r="BM13" i="21"/>
  <c r="BN13" i="21"/>
  <c r="E34" i="18"/>
  <c r="I20" i="5"/>
  <c r="H34" i="18"/>
  <c r="I20" i="20"/>
  <c r="BM12" i="21"/>
  <c r="BN12" i="21"/>
  <c r="E33" i="18"/>
  <c r="D33" i="18"/>
  <c r="J15" i="20"/>
  <c r="J15" i="5"/>
  <c r="F91" i="18"/>
  <c r="J17" i="5"/>
  <c r="J17" i="20"/>
  <c r="J16" i="5"/>
  <c r="J16" i="20"/>
  <c r="D77" i="18"/>
  <c r="E76" i="18"/>
  <c r="D78" i="18"/>
  <c r="B79" i="5"/>
  <c r="D79" i="5"/>
  <c r="C64" i="5"/>
  <c r="C66" i="5"/>
  <c r="C67" i="5"/>
  <c r="B78" i="5"/>
  <c r="D78" i="5"/>
  <c r="F95" i="18"/>
  <c r="F93" i="18"/>
  <c r="F96" i="18"/>
  <c r="O34" i="18"/>
  <c r="C58" i="5"/>
  <c r="C60" i="5"/>
  <c r="C68" i="5"/>
  <c r="C69" i="5"/>
  <c r="C71" i="5"/>
  <c r="J19" i="20"/>
  <c r="K4" i="20"/>
  <c r="K5" i="20"/>
  <c r="J19" i="5"/>
  <c r="K4" i="5"/>
  <c r="K5" i="5"/>
  <c r="C90" i="18"/>
  <c r="C80" i="18"/>
  <c r="C81" i="18"/>
  <c r="D90" i="18"/>
  <c r="D80" i="18"/>
  <c r="D81" i="18"/>
  <c r="D80" i="5"/>
  <c r="E78" i="18"/>
  <c r="E75" i="18"/>
  <c r="C82" i="18"/>
  <c r="C85" i="18"/>
  <c r="C95" i="18"/>
  <c r="C94" i="18"/>
  <c r="N35" i="18"/>
  <c r="E90" i="18"/>
  <c r="E80" i="18"/>
  <c r="J11" i="5"/>
  <c r="J11" i="20"/>
  <c r="F75" i="18"/>
  <c r="K72" i="18"/>
  <c r="O36" i="18"/>
  <c r="D95" i="18"/>
  <c r="D94" i="18"/>
  <c r="D82" i="18"/>
  <c r="D85" i="18"/>
  <c r="E81" i="18"/>
  <c r="E82" i="18"/>
  <c r="F82" i="18"/>
  <c r="E85" i="18"/>
  <c r="E86" i="18"/>
  <c r="E95" i="18"/>
  <c r="E94" i="18"/>
  <c r="N36" i="18"/>
  <c r="E96" i="18"/>
  <c r="N34" i="18"/>
  <c r="F85" i="18"/>
  <c r="N19" i="18"/>
  <c r="F86" i="18"/>
  <c r="O19" i="18"/>
  <c r="N28" i="18"/>
  <c r="C53" i="9"/>
  <c r="O28" i="18"/>
  <c r="N29" i="18"/>
  <c r="Q19" i="18"/>
  <c r="P28" i="18"/>
  <c r="L77" i="18"/>
  <c r="Q28" i="18"/>
  <c r="E53" i="9"/>
  <c r="C54" i="9"/>
  <c r="E54" i="9"/>
  <c r="P19" i="18"/>
  <c r="U12" i="18"/>
  <c r="U15" i="18"/>
  <c r="O29" i="18"/>
  <c r="N30" i="18"/>
  <c r="O30" i="18"/>
  <c r="L78" i="18"/>
  <c r="K6" i="20"/>
  <c r="J6" i="20"/>
  <c r="K6" i="5"/>
  <c r="J6" i="5"/>
  <c r="Z16" i="9"/>
  <c r="E56" i="9"/>
  <c r="F56" i="9"/>
  <c r="E35" i="18"/>
  <c r="R28" i="18"/>
  <c r="R19" i="18"/>
  <c r="V12" i="18"/>
  <c r="V15" i="18"/>
  <c r="G61" i="9"/>
  <c r="Z10" i="9"/>
  <c r="AA16" i="9"/>
  <c r="AA17" i="9"/>
  <c r="AB19" i="9"/>
  <c r="AC19" i="9"/>
  <c r="Z12" i="9"/>
  <c r="AA12" i="9"/>
  <c r="AA10" i="9"/>
  <c r="AL18" i="9"/>
  <c r="AM18" i="9"/>
  <c r="AN18" i="9"/>
  <c r="AL24" i="9"/>
  <c r="AM24" i="9"/>
  <c r="AN24" i="9"/>
  <c r="AL10" i="9"/>
  <c r="AM10" i="9"/>
  <c r="AN10" i="9"/>
  <c r="AL21" i="9"/>
  <c r="AM21" i="9"/>
  <c r="AN21" i="9"/>
  <c r="AL11" i="9"/>
  <c r="AM11" i="9"/>
  <c r="AN11" i="9"/>
  <c r="AL12" i="9"/>
  <c r="AM12" i="9"/>
  <c r="AN12" i="9"/>
  <c r="G65" i="9"/>
  <c r="G62" i="9"/>
  <c r="G63" i="9"/>
  <c r="G64" i="9"/>
  <c r="O4" i="5"/>
  <c r="AL19" i="9"/>
  <c r="AM19" i="9"/>
  <c r="AN19" i="9"/>
  <c r="AL25" i="9"/>
  <c r="AM25" i="9"/>
  <c r="AN25" i="9"/>
  <c r="O4" i="20"/>
  <c r="AL14" i="9"/>
  <c r="AM14" i="9"/>
  <c r="AN14" i="9"/>
  <c r="AL17" i="9"/>
  <c r="AM17" i="9"/>
  <c r="AN17" i="9"/>
  <c r="AL15" i="9"/>
  <c r="AM15" i="9"/>
  <c r="AN15" i="9"/>
  <c r="AL20" i="9"/>
  <c r="AM20" i="9"/>
  <c r="AN20" i="9"/>
  <c r="AL26" i="9"/>
  <c r="AM26" i="9"/>
  <c r="AN26" i="9"/>
  <c r="AL13" i="9"/>
  <c r="AM13" i="9"/>
  <c r="AN13" i="9"/>
  <c r="AL16" i="9"/>
  <c r="AM16" i="9"/>
  <c r="AN16" i="9"/>
  <c r="AL22" i="9"/>
  <c r="AM22" i="9"/>
  <c r="AN22" i="9"/>
  <c r="AL23" i="9"/>
  <c r="AM23" i="9"/>
  <c r="AN23" i="9"/>
  <c r="O26" i="5"/>
  <c r="O26" i="20"/>
  <c r="O5" i="5"/>
  <c r="O9" i="5"/>
  <c r="O8" i="5"/>
  <c r="O5" i="20"/>
  <c r="O9" i="20"/>
  <c r="O8" i="20"/>
  <c r="O24" i="20"/>
  <c r="O24" i="5"/>
  <c r="O11" i="5"/>
  <c r="O11" i="20"/>
  <c r="E18" i="5"/>
  <c r="B18" i="5"/>
  <c r="A18" i="5"/>
</calcChain>
</file>

<file path=xl/comments1.xml><?xml version="1.0" encoding="utf-8"?>
<comments xmlns="http://schemas.openxmlformats.org/spreadsheetml/2006/main">
  <authors>
    <author>NSW DPI Client</author>
    <author>Acer Valued Customer</author>
    <author>stanley</author>
    <author>Duddy</author>
    <author>DPI</author>
    <author>NSW Ag Client</author>
  </authors>
  <commentList>
    <comment ref="D3" authorId="0">
      <text>
        <r>
          <rPr>
            <b/>
            <sz val="11"/>
            <color indexed="10"/>
            <rFont val="Arial"/>
            <family val="2"/>
          </rPr>
          <t xml:space="preserve">CLICK on arrows (up/down) to select  </t>
        </r>
        <r>
          <rPr>
            <b/>
            <sz val="11"/>
            <color indexed="81"/>
            <rFont val="Arial"/>
            <family val="2"/>
          </rPr>
          <t xml:space="preserve">
LAMB  OR 
ADULT ( includes HOGGET) -
This calculates the slaughter levy</t>
        </r>
      </text>
    </comment>
    <comment ref="D4" authorId="0">
      <text>
        <r>
          <rPr>
            <b/>
            <sz val="12"/>
            <color indexed="81"/>
            <rFont val="Arial"/>
            <family val="2"/>
          </rPr>
          <t xml:space="preserve">
Use either full (directly off feed) or fasted liveweights when entering starting and final values.</t>
        </r>
      </text>
    </comment>
    <comment ref="H4" authorId="1">
      <text>
        <r>
          <rPr>
            <b/>
            <sz val="12"/>
            <color indexed="81"/>
            <rFont val="Arial"/>
            <family val="2"/>
          </rPr>
          <t xml:space="preserve">
This estimate is based on:
 the </t>
        </r>
        <r>
          <rPr>
            <b/>
            <u/>
            <sz val="12"/>
            <color indexed="81"/>
            <rFont val="Arial"/>
            <family val="2"/>
          </rPr>
          <t>average</t>
        </r>
        <r>
          <rPr>
            <b/>
            <sz val="12"/>
            <color indexed="81"/>
            <rFont val="Arial"/>
            <family val="2"/>
          </rPr>
          <t xml:space="preserve"> of the </t>
        </r>
        <r>
          <rPr>
            <b/>
            <sz val="12"/>
            <color indexed="10"/>
            <rFont val="Arial"/>
            <family val="2"/>
          </rPr>
          <t>starting</t>
        </r>
        <r>
          <rPr>
            <b/>
            <sz val="12"/>
            <color indexed="81"/>
            <rFont val="Arial"/>
            <family val="2"/>
          </rPr>
          <t xml:space="preserve"> and </t>
        </r>
        <r>
          <rPr>
            <b/>
            <sz val="12"/>
            <color indexed="10"/>
            <rFont val="Arial"/>
            <family val="2"/>
          </rPr>
          <t>target</t>
        </r>
        <r>
          <rPr>
            <b/>
            <sz val="12"/>
            <color indexed="81"/>
            <rFont val="Arial"/>
            <family val="2"/>
          </rPr>
          <t xml:space="preserve"> liveweights </t>
        </r>
        <r>
          <rPr>
            <b/>
            <u/>
            <sz val="12"/>
            <color indexed="81"/>
            <rFont val="Arial"/>
            <family val="2"/>
          </rPr>
          <t>multiplied</t>
        </r>
        <r>
          <rPr>
            <b/>
            <sz val="12"/>
            <color indexed="81"/>
            <rFont val="Arial"/>
            <family val="2"/>
          </rPr>
          <t xml:space="preserve"> by the level of intake as a % of liveweight.</t>
        </r>
      </text>
    </comment>
    <comment ref="D5" authorId="1">
      <text>
        <r>
          <rPr>
            <b/>
            <sz val="12"/>
            <color indexed="81"/>
            <rFont val="Arial"/>
            <family val="2"/>
          </rPr>
          <t xml:space="preserve">
"</t>
        </r>
        <r>
          <rPr>
            <b/>
            <u/>
            <sz val="12"/>
            <color indexed="81"/>
            <rFont val="Arial"/>
            <family val="2"/>
          </rPr>
          <t>Value on Farm</t>
        </r>
        <r>
          <rPr>
            <b/>
            <sz val="12"/>
            <color indexed="81"/>
            <rFont val="Arial"/>
            <family val="2"/>
          </rPr>
          <t>" will differ from '</t>
        </r>
        <r>
          <rPr>
            <b/>
            <u/>
            <sz val="12"/>
            <color indexed="81"/>
            <rFont val="Arial"/>
            <family val="2"/>
          </rPr>
          <t>Purchase</t>
        </r>
        <r>
          <rPr>
            <b/>
            <sz val="12"/>
            <color indexed="81"/>
            <rFont val="Arial"/>
            <family val="2"/>
          </rPr>
          <t xml:space="preserve">' value shown in Costs/Lamb Table as 'Purchase' value includes transport and commission. 
Neither of these costs are included for "On Farm" animals.
</t>
        </r>
      </text>
    </comment>
    <comment ref="H5" authorId="1">
      <text>
        <r>
          <rPr>
            <b/>
            <sz val="12"/>
            <color indexed="81"/>
            <rFont val="Arial"/>
            <family val="2"/>
          </rPr>
          <t xml:space="preserve">
This value is an estimate of feed consumed per kiLogram liveweight gain based on </t>
        </r>
        <r>
          <rPr>
            <b/>
            <sz val="12"/>
            <color indexed="10"/>
            <rFont val="Arial"/>
            <family val="2"/>
          </rPr>
          <t>Daily Intake</t>
        </r>
        <r>
          <rPr>
            <b/>
            <sz val="12"/>
            <color indexed="81"/>
            <rFont val="Arial"/>
            <family val="2"/>
          </rPr>
          <t xml:space="preserve"> and </t>
        </r>
        <r>
          <rPr>
            <b/>
            <sz val="12"/>
            <color indexed="10"/>
            <rFont val="Arial"/>
            <family val="2"/>
          </rPr>
          <t>Target Daily Growth Rates.</t>
        </r>
      </text>
    </comment>
    <comment ref="D6" authorId="0">
      <text>
        <r>
          <rPr>
            <b/>
            <sz val="12"/>
            <color indexed="81"/>
            <rFont val="Arial"/>
            <family val="2"/>
          </rPr>
          <t xml:space="preserve">
Use either full (directly off feed) or fasted liveweights when entering starting and target values.</t>
        </r>
        <r>
          <rPr>
            <sz val="8"/>
            <color indexed="81"/>
            <rFont val="Tahoma"/>
            <family val="2"/>
          </rPr>
          <t xml:space="preserve">
</t>
        </r>
      </text>
    </comment>
    <comment ref="D7" authorId="2">
      <text>
        <r>
          <rPr>
            <b/>
            <sz val="12"/>
            <color indexed="81"/>
            <rFont val="Arial"/>
            <family val="2"/>
          </rPr>
          <t xml:space="preserve">
Dressing % will vary according to fat score, season, wool length, breed, sex, time off feed  and abattoir trim. 
As a </t>
        </r>
        <r>
          <rPr>
            <b/>
            <u/>
            <sz val="12"/>
            <color indexed="81"/>
            <rFont val="Arial"/>
            <family val="2"/>
          </rPr>
          <t>guide</t>
        </r>
        <r>
          <rPr>
            <b/>
            <sz val="12"/>
            <color indexed="81"/>
            <rFont val="Arial"/>
            <family val="2"/>
          </rPr>
          <t xml:space="preserve"> fat score 3, weaned 2nd X lambs generally dress 45%. Adjust this figure according to breed, fat score etc differences. 
For example:
If fat score 4 - add 2% (47%)
If fat score 2 - deduct 2% (43%)
If off feed 4 hours - deduct 1% (44%)
If off feed 12 hr - deduct 2% (43%)
If BLM or Merino deduct 1 (44%) or 3% (42%)
Cross bred lambs 44 to 52%
Merinos 40 to 48% </t>
        </r>
        <r>
          <rPr>
            <b/>
            <sz val="10"/>
            <color indexed="81"/>
            <rFont val="Arial"/>
            <family val="2"/>
          </rPr>
          <t xml:space="preserve">
</t>
        </r>
        <r>
          <rPr>
            <b/>
            <sz val="12"/>
            <color indexed="12"/>
            <rFont val="Arial"/>
            <family val="2"/>
          </rPr>
          <t>HCSW=Hot Standard Carcase Weight</t>
        </r>
        <r>
          <rPr>
            <b/>
            <sz val="10"/>
            <color indexed="81"/>
            <rFont val="Arial"/>
            <family val="2"/>
          </rPr>
          <t xml:space="preserve">
</t>
        </r>
      </text>
    </comment>
    <comment ref="H8" authorId="1">
      <text>
        <r>
          <rPr>
            <b/>
            <sz val="12"/>
            <color indexed="81"/>
            <rFont val="Arial"/>
            <family val="2"/>
          </rPr>
          <t xml:space="preserve">
This value is an estimate of time required to reach the </t>
        </r>
        <r>
          <rPr>
            <b/>
            <sz val="12"/>
            <color indexed="10"/>
            <rFont val="Arial"/>
            <family val="2"/>
          </rPr>
          <t>Average Target Sale Liveweight</t>
        </r>
        <r>
          <rPr>
            <b/>
            <sz val="12"/>
            <color indexed="81"/>
            <rFont val="Arial"/>
            <family val="2"/>
          </rPr>
          <t xml:space="preserve">
It includes a 2 week (normal) introduction period . 
</t>
        </r>
      </text>
    </comment>
    <comment ref="D9" authorId="3">
      <text>
        <r>
          <rPr>
            <b/>
            <sz val="12"/>
            <color indexed="81"/>
            <rFont val="Arial"/>
            <family val="2"/>
          </rPr>
          <t xml:space="preserve">
Skin values may vary depending on skin area, breed type, wool lengths etc. 
They may constitute 10 to 15% of final lamb or sheep value.</t>
        </r>
      </text>
    </comment>
    <comment ref="H9" authorId="0">
      <text>
        <r>
          <rPr>
            <b/>
            <sz val="12"/>
            <color indexed="81"/>
            <rFont val="Arial"/>
            <family val="2"/>
          </rPr>
          <t xml:space="preserve">Includes any feedout losses (D43).
</t>
        </r>
      </text>
    </comment>
    <comment ref="D10" authorId="2">
      <text>
        <r>
          <rPr>
            <b/>
            <sz val="12"/>
            <color indexed="81"/>
            <rFont val="Arial"/>
            <family val="2"/>
          </rPr>
          <t xml:space="preserve">This price will override the </t>
        </r>
        <r>
          <rPr>
            <b/>
            <sz val="12"/>
            <color indexed="10"/>
            <rFont val="Arial"/>
            <family val="2"/>
          </rPr>
          <t>Carcase Sale Price</t>
        </r>
        <r>
          <rPr>
            <b/>
            <sz val="12"/>
            <color indexed="81"/>
            <rFont val="Arial"/>
            <family val="2"/>
          </rPr>
          <t xml:space="preserve"> (C8) and </t>
        </r>
        <r>
          <rPr>
            <b/>
            <sz val="12"/>
            <color indexed="10"/>
            <rFont val="Arial"/>
            <family val="2"/>
          </rPr>
          <t>Skin</t>
        </r>
        <r>
          <rPr>
            <b/>
            <sz val="12"/>
            <color indexed="81"/>
            <rFont val="Arial"/>
            <family val="2"/>
          </rPr>
          <t xml:space="preserve"> (C9) option cell values.
Leave blank if you entered carcase and skin values.
</t>
        </r>
        <r>
          <rPr>
            <b/>
            <sz val="12"/>
            <color indexed="12"/>
            <rFont val="Arial"/>
            <family val="2"/>
          </rPr>
          <t>Enter Estimated Sale or Contract Price Values.</t>
        </r>
        <r>
          <rPr>
            <b/>
            <sz val="12"/>
            <color indexed="81"/>
            <rFont val="Arial"/>
            <family val="2"/>
          </rPr>
          <t xml:space="preserve">
</t>
        </r>
      </text>
    </comment>
    <comment ref="H10" authorId="1">
      <text>
        <r>
          <rPr>
            <b/>
            <sz val="12"/>
            <color indexed="81"/>
            <rFont val="Arial"/>
            <family val="2"/>
          </rPr>
          <t xml:space="preserve">
This value is an estimate for total feed required by each animal to reach the targeted liveweights specified.</t>
        </r>
      </text>
    </comment>
    <comment ref="D11" authorId="3">
      <text>
        <r>
          <rPr>
            <b/>
            <sz val="12"/>
            <color indexed="81"/>
            <rFont val="Arial"/>
            <family val="2"/>
          </rPr>
          <t xml:space="preserve">
Insert an estimate for daily growth rate. 
Breed type, seasonal conditions, ration and water quality, age, history of lambs/sheep being fed and genetic potential are some of the factors that may impact on growth rate within a feedlot.
</t>
        </r>
        <r>
          <rPr>
            <b/>
            <u/>
            <sz val="12"/>
            <color indexed="81"/>
            <rFont val="Arial"/>
            <family val="2"/>
          </rPr>
          <t>As a guide</t>
        </r>
        <r>
          <rPr>
            <b/>
            <sz val="12"/>
            <color indexed="81"/>
            <rFont val="Arial"/>
            <family val="2"/>
          </rPr>
          <t xml:space="preserve">: ( unrestricted feed) -
Merino lambs  150-240 g/h/d
Border Leicester/Merino  170 - 260 g/h/d
Dual Purpose  150 - 290 g/h/d
Terminal Sire/Merino 180 - 270 g/h/d
2ndX Lambs  210 - 320 g/h/d
Adult Merino  50 - 260 g/h/d
see also comments on level of feeding. </t>
        </r>
      </text>
    </comment>
    <comment ref="H11" authorId="1">
      <text>
        <r>
          <rPr>
            <b/>
            <sz val="8"/>
            <color indexed="81"/>
            <rFont val="Tahoma"/>
            <family val="2"/>
          </rPr>
          <t xml:space="preserve">
</t>
        </r>
        <r>
          <rPr>
            <b/>
            <sz val="12"/>
            <color indexed="81"/>
            <rFont val="Arial"/>
            <family val="2"/>
          </rPr>
          <t>An estimate of Total Average saleable carcase weights
 (Drafts 1 and 2 and Shy Feeders).</t>
        </r>
      </text>
    </comment>
    <comment ref="D12" authorId="3">
      <text>
        <r>
          <rPr>
            <b/>
            <sz val="12"/>
            <color indexed="81"/>
            <rFont val="Arial"/>
            <family val="2"/>
          </rPr>
          <t xml:space="preserve">
This value will override 
</t>
        </r>
        <r>
          <rPr>
            <b/>
            <sz val="12"/>
            <color indexed="10"/>
            <rFont val="Arial"/>
            <family val="2"/>
          </rPr>
          <t>Target Daily Growth Rate</t>
        </r>
        <r>
          <rPr>
            <b/>
            <sz val="12"/>
            <color indexed="81"/>
            <rFont val="Arial"/>
            <family val="2"/>
          </rPr>
          <t xml:space="preserve"> (Cell C11). Leave blank if you selected a growth rate value</t>
        </r>
        <r>
          <rPr>
            <b/>
            <sz val="12"/>
            <color indexed="10"/>
            <rFont val="Arial"/>
            <family val="2"/>
          </rPr>
          <t xml:space="preserve"> 
</t>
        </r>
        <r>
          <rPr>
            <b/>
            <sz val="12"/>
            <color indexed="81"/>
            <rFont val="Arial"/>
            <family val="2"/>
          </rPr>
          <t xml:space="preserve">Can principally be used during maintenance or production feeding (eg Live Sheep trade). 
It allows you to determine costs and the likelihood of reaching target weights in the time period you select. 
</t>
        </r>
      </text>
    </comment>
    <comment ref="D13" authorId="0">
      <text>
        <r>
          <rPr>
            <b/>
            <sz val="12"/>
            <color indexed="81"/>
            <rFont val="Arial"/>
            <family val="2"/>
          </rPr>
          <t xml:space="preserve">
Low to nil roughage, high grain or pelleted diets and young lambs will generally have a greater daily intake as a percentage of liveweight ranging from 2.0 to 2.8% LWT for adult sheep and 2.7 to 3.8% LWT on DM basis for lambs when the ration goes from ME(MJ) of 8 to 13.
Intakes can be restricted to produce moderate growth.   It is suggested you use the advanced option and look at nutritional value of the ration .
Animals on maintenance rations will need from 
1.0 to 1.8 % of LWT on a dry matter basis  depending on the ration's energy value (see below). 
ME(MJ)       8        9      10      11      12      13
Sheep       1.8    1.6    1.4     1.2     1.1     1.0
Lambs               1.7    1.5     1.2     1.1     1.0
Be wary of high moisture feeds (eg: silage), poor quality roughages and alternate feeds of low or poor digestibility. Lambs/sheep may not be able to meet their maintenance or growth requirements when fed low dry matter, poor quality rations.
</t>
        </r>
        <r>
          <rPr>
            <sz val="8"/>
            <color indexed="81"/>
            <rFont val="Tahoma"/>
            <family val="2"/>
          </rPr>
          <t xml:space="preserve">
</t>
        </r>
      </text>
    </comment>
    <comment ref="D16" authorId="4">
      <text>
        <r>
          <rPr>
            <b/>
            <sz val="12"/>
            <color indexed="81"/>
            <rFont val="Arial"/>
            <family val="2"/>
          </rPr>
          <t>0.5 - 2% is a general range within industry.
 Identify causes of loss and initiate any preventative measures necessary to reduce losses.
Consult a veterinarian if cause of deaths is unknown.</t>
        </r>
      </text>
    </comment>
    <comment ref="D17" authorId="4">
      <text>
        <r>
          <rPr>
            <sz val="8"/>
            <color indexed="81"/>
            <rFont val="Tahoma"/>
            <family val="2"/>
          </rPr>
          <t xml:space="preserve">
</t>
        </r>
        <r>
          <rPr>
            <b/>
            <sz val="12"/>
            <color indexed="81"/>
            <rFont val="Arial"/>
            <family val="2"/>
          </rPr>
          <t>Continuous turnoff from a Custom feedlot should avoid anything below 90%.  
Seasonal or Opportunitistic feedlots can assume from 70 to 80% will meet the first draft target weights.</t>
        </r>
      </text>
    </comment>
    <comment ref="D18" authorId="4">
      <text>
        <r>
          <rPr>
            <b/>
            <sz val="12"/>
            <color indexed="81"/>
            <rFont val="Arial"/>
            <family val="2"/>
          </rPr>
          <t xml:space="preserve">
Shy feeder numbers may vary depending on breed type, social stress and feedlot design.
Assume 10% for opportunistic and 5% for commercial feedlots.
</t>
        </r>
        <r>
          <rPr>
            <sz val="12"/>
            <color indexed="81"/>
            <rFont val="Arial"/>
            <family val="2"/>
          </rPr>
          <t xml:space="preserve">
</t>
        </r>
        <r>
          <rPr>
            <b/>
            <u/>
            <sz val="12"/>
            <color indexed="81"/>
            <rFont val="Arial"/>
            <family val="2"/>
          </rPr>
          <t>Assumptions for these lambs are:</t>
        </r>
        <r>
          <rPr>
            <b/>
            <sz val="12"/>
            <color indexed="81"/>
            <rFont val="Arial"/>
            <family val="2"/>
          </rPr>
          <t xml:space="preserve">
    - no liveweight increase
    - 80% carcase price of first draft
    - 45% dressing %
    - 75% skin price of first draft
when sold per head - value 20% above inital value.</t>
        </r>
      </text>
    </comment>
    <comment ref="D19" authorId="1">
      <text>
        <r>
          <rPr>
            <b/>
            <sz val="12"/>
            <color indexed="81"/>
            <rFont val="Arial"/>
            <family val="2"/>
          </rPr>
          <t xml:space="preserve">
This figure is the calculated difference between starting number of animals </t>
        </r>
        <r>
          <rPr>
            <b/>
            <u/>
            <sz val="12"/>
            <color indexed="81"/>
            <rFont val="Arial"/>
            <family val="2"/>
          </rPr>
          <t>minus</t>
        </r>
        <r>
          <rPr>
            <b/>
            <sz val="12"/>
            <color indexed="81"/>
            <rFont val="Arial"/>
            <family val="2"/>
          </rPr>
          <t xml:space="preserve"> those in first draft, shy feeder and death categories.
You cannot enter a value in this cell.
Modify this value by modifying the other categories listed above.</t>
        </r>
      </text>
    </comment>
    <comment ref="D20" authorId="2">
      <text>
        <r>
          <rPr>
            <b/>
            <sz val="12"/>
            <color indexed="81"/>
            <rFont val="Arial"/>
            <family val="2"/>
          </rPr>
          <t xml:space="preserve">
Draft 2 Selling Price allows you to enter a per head price 
(including skin value) for this draft relative to the 1st Draft.</t>
        </r>
      </text>
    </comment>
    <comment ref="D21" authorId="2">
      <text>
        <r>
          <rPr>
            <b/>
            <sz val="12"/>
            <color indexed="81"/>
            <rFont val="Arial"/>
            <family val="2"/>
          </rPr>
          <t xml:space="preserve">
Enter a value as a % of the final sale price of first draft lambs.
This figure may be your overdraft interest rate or similar.</t>
        </r>
      </text>
    </comment>
    <comment ref="H21" authorId="1">
      <text>
        <r>
          <rPr>
            <b/>
            <sz val="12"/>
            <color indexed="81"/>
            <rFont val="Arial"/>
            <family val="2"/>
          </rPr>
          <t xml:space="preserve">
Includes Buy-In Commission and Transport to farm.</t>
        </r>
      </text>
    </comment>
    <comment ref="H22" authorId="1">
      <text>
        <r>
          <rPr>
            <b/>
            <sz val="8"/>
            <color indexed="81"/>
            <rFont val="Tahoma"/>
            <family val="2"/>
          </rPr>
          <t xml:space="preserve">
</t>
        </r>
        <r>
          <rPr>
            <b/>
            <sz val="12"/>
            <color indexed="81"/>
            <rFont val="Arial"/>
            <family val="2"/>
          </rPr>
          <t xml:space="preserve">Include costs associated with shearing, 
drenching, vaccinations and costs per lamb towards wool packs and supplies  et. Costs.
</t>
        </r>
      </text>
    </comment>
    <comment ref="H23" authorId="1">
      <text>
        <r>
          <rPr>
            <b/>
            <sz val="8"/>
            <color indexed="81"/>
            <rFont val="Tahoma"/>
            <family val="2"/>
          </rPr>
          <t xml:space="preserve">
</t>
        </r>
        <r>
          <rPr>
            <b/>
            <sz val="12"/>
            <color indexed="81"/>
            <rFont val="Arial"/>
            <family val="2"/>
          </rPr>
          <t>Includes transport out and sale commissions etc.</t>
        </r>
      </text>
    </comment>
    <comment ref="B24" authorId="0">
      <text>
        <r>
          <rPr>
            <b/>
            <sz val="12"/>
            <color indexed="81"/>
            <rFont val="Arial"/>
            <family val="2"/>
          </rPr>
          <t xml:space="preserve">
It is unlikely that you would  shear and crutch the same lambs within 60 days of entering a feedlot.
Enter full cost associated with either option on a per head basis.
</t>
        </r>
      </text>
    </comment>
    <comment ref="B25" authorId="0">
      <text>
        <r>
          <rPr>
            <b/>
            <sz val="12"/>
            <color indexed="81"/>
            <rFont val="Arial"/>
            <family val="2"/>
          </rPr>
          <t xml:space="preserve">
It is unlikely that you would  shear and crutch the same lambs within 60 days of entering a feedlot.
Enter full cost associated with either option on a per head basis.</t>
        </r>
      </text>
    </comment>
    <comment ref="B26" authorId="4">
      <text>
        <r>
          <rPr>
            <b/>
            <sz val="12"/>
            <color indexed="81"/>
            <rFont val="Arial"/>
            <family val="2"/>
          </rPr>
          <t xml:space="preserve">
Use an effective broad spectrum drench or equivalent. 
Check on withholding period. If worm status is unknown it is recommended that a worm or drench test be conducted.
</t>
        </r>
      </text>
    </comment>
    <comment ref="B27" authorId="4">
      <text>
        <r>
          <rPr>
            <b/>
            <sz val="12"/>
            <color indexed="81"/>
            <rFont val="Arial"/>
            <family val="2"/>
          </rPr>
          <t xml:space="preserve">
Fly Control may only be necessary during warmer months. 
Check Witholding and Export Slaughter Intervals for the chemical used.
Consider the use of fly traps, shearing etc to reduce fly incidence.</t>
        </r>
      </text>
    </comment>
    <comment ref="B28" authorId="3">
      <text>
        <r>
          <rPr>
            <b/>
            <sz val="12"/>
            <color indexed="81"/>
            <rFont val="Arial"/>
            <family val="2"/>
          </rPr>
          <t xml:space="preserve">
Allows you to include costs not included in this section up to the value of $2 per head.
These may include such costs as:
* use of a mineral drench, 
* saleyard fees,
* buy in commission rates 
(if based on a cents per head agreement 
and not a % commission rate). 
</t>
        </r>
      </text>
    </comment>
    <comment ref="B29" authorId="1">
      <text>
        <r>
          <rPr>
            <b/>
            <sz val="12"/>
            <color indexed="81"/>
            <rFont val="Arial"/>
            <family val="2"/>
          </rPr>
          <t xml:space="preserve">
Vaccination with Vitamin A,D and E may be necessary if lambs have not had a suitable green pick for 3 months prior to feedlotting.
A,D and E can also be administered within mineral supplements.</t>
        </r>
      </text>
    </comment>
    <comment ref="B30" authorId="4">
      <text>
        <r>
          <rPr>
            <b/>
            <sz val="12"/>
            <color indexed="81"/>
            <rFont val="Arial"/>
            <family val="2"/>
          </rPr>
          <t xml:space="preserve">
If stock have been purchased ask about their vaccination history.  
Vaccinate prior to entering the feedlot and 4 to 6 weeks later to reduce pulpy kidney incidence. 
Be wary of vaccination site   
damage to carcase.</t>
        </r>
        <r>
          <rPr>
            <b/>
            <sz val="10"/>
            <color indexed="81"/>
            <rFont val="Arial"/>
            <family val="2"/>
          </rPr>
          <t xml:space="preserve"> </t>
        </r>
      </text>
    </comment>
    <comment ref="B31" authorId="5">
      <text>
        <r>
          <rPr>
            <b/>
            <sz val="12"/>
            <color indexed="81"/>
            <rFont val="Arial"/>
            <family val="2"/>
          </rPr>
          <t xml:space="preserve">
Include all delivery costs associated with transportation.
Remember the importance of stress on carcase quality.
A $/head value should be used.</t>
        </r>
        <r>
          <rPr>
            <b/>
            <sz val="11"/>
            <color indexed="81"/>
            <rFont val="Arial"/>
            <family val="2"/>
          </rPr>
          <t xml:space="preserve">
</t>
        </r>
      </text>
    </comment>
    <comment ref="B32" authorId="5">
      <text>
        <r>
          <rPr>
            <b/>
            <sz val="12"/>
            <color indexed="81"/>
            <rFont val="Arial"/>
            <family val="2"/>
          </rPr>
          <t xml:space="preserve">
Include all delivery costs associated with transportation. 
Remember the importance of stress on carcase quality.
A $/head value should be used.
</t>
        </r>
      </text>
    </comment>
    <comment ref="B33" authorId="2">
      <text>
        <r>
          <rPr>
            <b/>
            <sz val="12"/>
            <color indexed="81"/>
            <rFont val="Arial"/>
            <family val="2"/>
          </rPr>
          <t xml:space="preserve">
Calculates supplies needed on 180 kg bales. 
If commission is on a per bale basis add this cost to the wool pack costs and leave "Selling Commission" blank. </t>
        </r>
      </text>
    </comment>
    <comment ref="B34" authorId="3">
      <text>
        <r>
          <rPr>
            <b/>
            <sz val="12"/>
            <color indexed="81"/>
            <rFont val="Arial"/>
            <family val="2"/>
          </rPr>
          <t xml:space="preserve">
'Killing Costs' provides producers who pay for the slaughter of their lambs (eg:  wholesalers and most organic lamb producers)
 the option to include such costs.
Leave blank if you do not pay for lamb slaughter.</t>
        </r>
      </text>
    </comment>
    <comment ref="B35" authorId="1">
      <text>
        <r>
          <rPr>
            <b/>
            <sz val="12"/>
            <color indexed="81"/>
            <rFont val="Arial"/>
            <family val="2"/>
          </rPr>
          <t xml:space="preserve">
This value can not be changed. It is determined by the sale value of your lambs or sheep.
For lambs this value is calculated as being 2% of sale value up to a $75 maximum value.
For sheep this value is a flat rate of 20c/head.</t>
        </r>
      </text>
    </comment>
    <comment ref="B36" authorId="1">
      <text>
        <r>
          <rPr>
            <b/>
            <sz val="12"/>
            <color indexed="81"/>
            <rFont val="Arial"/>
            <family val="2"/>
          </rPr>
          <t xml:space="preserve">
A default value of 5% is shown. 
This value is negotiable. Discuss such with your agent.
Leave blank if sourcing lambs yourself and you do not use an  agent or equivalent.</t>
        </r>
      </text>
    </comment>
    <comment ref="B37" authorId="1">
      <text>
        <r>
          <rPr>
            <b/>
            <sz val="12"/>
            <color indexed="81"/>
            <rFont val="Arial"/>
            <family val="2"/>
          </rPr>
          <t xml:space="preserve">
These include establishment and equipment costs attributable to a feedlot operation.
This figure will vary according to operation size, the number of lambs fed throughout the year and infrastructure/machinery costs. 
Generally vary between 50c to $3.00 per head.
</t>
        </r>
      </text>
    </comment>
    <comment ref="B38" authorId="1">
      <text>
        <r>
          <rPr>
            <b/>
            <sz val="12"/>
            <color indexed="81"/>
            <rFont val="Arial"/>
            <family val="2"/>
          </rPr>
          <t xml:space="preserve">
A default value of 5% is shown. 
This value is negotiable. Discuss such with your agent.
Leave blank if sourcing lambs yourself and you do not use an  agent or equivalent.</t>
        </r>
      </text>
    </comment>
    <comment ref="D41" authorId="2">
      <text>
        <r>
          <rPr>
            <b/>
            <sz val="12"/>
            <color indexed="81"/>
            <rFont val="Arial"/>
            <family val="2"/>
          </rPr>
          <t xml:space="preserve">
</t>
        </r>
        <r>
          <rPr>
            <b/>
            <u/>
            <sz val="12"/>
            <color indexed="81"/>
            <rFont val="Arial"/>
            <family val="2"/>
          </rPr>
          <t>Suggested rates</t>
        </r>
        <r>
          <rPr>
            <b/>
            <sz val="12"/>
            <color indexed="81"/>
            <rFont val="Arial"/>
            <family val="2"/>
          </rPr>
          <t xml:space="preserve">:
(cents/lamb/day)
 5c = Self feeders 
10c =Open troughs daily
15c = open troughs 2 x daily
These values will vary depending on operation size and infrastructure.
</t>
        </r>
      </text>
    </comment>
    <comment ref="D42" authorId="0">
      <text>
        <r>
          <rPr>
            <b/>
            <sz val="12"/>
            <color indexed="81"/>
            <rFont val="Arial"/>
            <family val="2"/>
          </rPr>
          <t xml:space="preserve">
Cost of ingredients, freight, storage and losses etc. </t>
        </r>
        <r>
          <rPr>
            <sz val="8"/>
            <color indexed="81"/>
            <rFont val="Tahoma"/>
            <family val="2"/>
          </rPr>
          <t xml:space="preserve">
</t>
        </r>
      </text>
    </comment>
    <comment ref="D43" authorId="1">
      <text>
        <r>
          <rPr>
            <b/>
            <sz val="12"/>
            <color indexed="81"/>
            <rFont val="Arial"/>
            <family val="2"/>
          </rPr>
          <t xml:space="preserve">
Storage and feedout losses can be relatively high.
Entering a value here will ensure </t>
        </r>
        <r>
          <rPr>
            <b/>
            <sz val="12"/>
            <color indexed="10"/>
            <rFont val="Arial"/>
            <family val="2"/>
          </rPr>
          <t>Total Feed (as fed)</t>
        </r>
        <r>
          <rPr>
            <b/>
            <sz val="12"/>
            <color indexed="81"/>
            <rFont val="Arial"/>
            <family val="2"/>
          </rPr>
          <t xml:space="preserve"> estimate includes waste and intake.</t>
        </r>
      </text>
    </comment>
    <comment ref="D44" authorId="2">
      <text>
        <r>
          <rPr>
            <b/>
            <sz val="12"/>
            <color indexed="81"/>
            <rFont val="Arial"/>
            <family val="2"/>
          </rPr>
          <t xml:space="preserve">
Calculate the </t>
        </r>
        <r>
          <rPr>
            <b/>
            <u/>
            <sz val="12"/>
            <color indexed="81"/>
            <rFont val="Arial"/>
            <family val="2"/>
          </rPr>
          <t>hours of operation</t>
        </r>
        <r>
          <rPr>
            <b/>
            <sz val="12"/>
            <color indexed="81"/>
            <rFont val="Arial"/>
            <family val="2"/>
          </rPr>
          <t xml:space="preserve"> x the </t>
        </r>
        <r>
          <rPr>
            <b/>
            <u/>
            <sz val="12"/>
            <color indexed="81"/>
            <rFont val="Arial"/>
            <family val="2"/>
          </rPr>
          <t>$ rate per tonne</t>
        </r>
        <r>
          <rPr>
            <b/>
            <sz val="12"/>
            <color indexed="81"/>
            <rFont val="Arial"/>
            <family val="2"/>
          </rPr>
          <t xml:space="preserve"> of grain and roughage fed</t>
        </r>
        <r>
          <rPr>
            <b/>
            <sz val="10"/>
            <color indexed="81"/>
            <rFont val="Arial"/>
            <family val="2"/>
          </rPr>
          <t xml:space="preserve">.
 </t>
        </r>
      </text>
    </comment>
    <comment ref="D45" authorId="0">
      <text>
        <r>
          <rPr>
            <b/>
            <sz val="12"/>
            <color indexed="81"/>
            <rFont val="Arial"/>
            <family val="2"/>
          </rPr>
          <t xml:space="preserve">
A grain/meal ration with up to 30% hay is approximately 88% Dry Matter.  
This will need to be adjusted if silage 35 to 55% (DM is included in the ration).
</t>
        </r>
      </text>
    </comment>
  </commentList>
</comments>
</file>

<file path=xl/comments2.xml><?xml version="1.0" encoding="utf-8"?>
<comments xmlns="http://schemas.openxmlformats.org/spreadsheetml/2006/main">
  <authors>
    <author>NSW DPI Client</author>
    <author>Acer Valued Customer</author>
    <author>stanley</author>
    <author>Duddy</author>
    <author>A satisfied Microsoft Office User</author>
  </authors>
  <commentList>
    <comment ref="B3" authorId="0">
      <text>
        <r>
          <rPr>
            <b/>
            <sz val="12"/>
            <color indexed="10"/>
            <rFont val="Arial"/>
            <family val="2"/>
          </rPr>
          <t>Move  mouse to arrows (D4) -click up/down to SELECT</t>
        </r>
        <r>
          <rPr>
            <b/>
            <sz val="10"/>
            <color indexed="10"/>
            <rFont val="Arial"/>
            <family val="2"/>
          </rPr>
          <t xml:space="preserve"> </t>
        </r>
        <r>
          <rPr>
            <b/>
            <sz val="12"/>
            <color indexed="10"/>
            <rFont val="Arial"/>
            <family val="2"/>
          </rPr>
          <t xml:space="preserve">breed type as shown
</t>
        </r>
        <r>
          <rPr>
            <b/>
            <sz val="12"/>
            <color indexed="12"/>
            <rFont val="Arial"/>
            <family val="2"/>
          </rPr>
          <t xml:space="preserve">Breed type is needed to estimate likely live weight gain from the ration used.
</t>
        </r>
        <r>
          <rPr>
            <b/>
            <sz val="12"/>
            <color indexed="81"/>
            <rFont val="Arial"/>
            <family val="2"/>
          </rPr>
          <t>1= 2nd cross
2= Terminal Sire/Merino
3= Merino
4= Border Leicester/Merino
5= Dual Purpose (eg SAMM, Dohne)
6= Adult Merino for below situations</t>
        </r>
        <r>
          <rPr>
            <sz val="10"/>
            <color indexed="81"/>
            <rFont val="Arial"/>
            <family val="2"/>
          </rPr>
          <t xml:space="preserve">
</t>
        </r>
        <r>
          <rPr>
            <sz val="11"/>
            <color indexed="12"/>
            <rFont val="Arial"/>
            <family val="2"/>
          </rPr>
          <t>(Drought lot, live trade, maintenance)</t>
        </r>
      </text>
    </comment>
    <comment ref="C4" authorId="0">
      <text>
        <r>
          <rPr>
            <b/>
            <sz val="12"/>
            <color indexed="81"/>
            <rFont val="Arial"/>
            <family val="2"/>
          </rPr>
          <t xml:space="preserve">
Use arrows for multiples of 100 (up to 1000) or enter any number up to, and including, 20,000 head on feed.</t>
        </r>
        <r>
          <rPr>
            <sz val="8"/>
            <color indexed="81"/>
            <rFont val="Tahoma"/>
            <family val="2"/>
          </rPr>
          <t xml:space="preserve">
</t>
        </r>
      </text>
    </comment>
    <comment ref="H4" authorId="1">
      <text>
        <r>
          <rPr>
            <b/>
            <sz val="12"/>
            <color indexed="81"/>
            <rFont val="Arial"/>
            <family val="2"/>
          </rPr>
          <t xml:space="preserve">
This estimate is based on:
 the </t>
        </r>
        <r>
          <rPr>
            <b/>
            <u/>
            <sz val="12"/>
            <color indexed="81"/>
            <rFont val="Arial"/>
            <family val="2"/>
          </rPr>
          <t>average</t>
        </r>
        <r>
          <rPr>
            <b/>
            <sz val="12"/>
            <color indexed="81"/>
            <rFont val="Arial"/>
            <family val="2"/>
          </rPr>
          <t xml:space="preserve"> of the </t>
        </r>
        <r>
          <rPr>
            <b/>
            <sz val="12"/>
            <color indexed="10"/>
            <rFont val="Arial"/>
            <family val="2"/>
          </rPr>
          <t>starting</t>
        </r>
        <r>
          <rPr>
            <b/>
            <sz val="12"/>
            <color indexed="81"/>
            <rFont val="Arial"/>
            <family val="2"/>
          </rPr>
          <t xml:space="preserve"> and </t>
        </r>
        <r>
          <rPr>
            <b/>
            <sz val="12"/>
            <color indexed="10"/>
            <rFont val="Arial"/>
            <family val="2"/>
          </rPr>
          <t>target</t>
        </r>
        <r>
          <rPr>
            <b/>
            <sz val="12"/>
            <color indexed="81"/>
            <rFont val="Arial"/>
            <family val="2"/>
          </rPr>
          <t xml:space="preserve"> liveweights multiplied by the level of intake as a % of liveweight.</t>
        </r>
      </text>
    </comment>
    <comment ref="C5" authorId="0">
      <text>
        <r>
          <rPr>
            <b/>
            <sz val="12"/>
            <color indexed="81"/>
            <rFont val="Arial"/>
            <family val="2"/>
          </rPr>
          <t xml:space="preserve">
Use either full </t>
        </r>
        <r>
          <rPr>
            <b/>
            <sz val="12"/>
            <color indexed="10"/>
            <rFont val="Arial"/>
            <family val="2"/>
          </rPr>
          <t>(directly off feed)</t>
        </r>
        <r>
          <rPr>
            <b/>
            <sz val="12"/>
            <color indexed="81"/>
            <rFont val="Arial"/>
            <family val="2"/>
          </rPr>
          <t xml:space="preserve"> or fasted liveweights when entering starting and final values.</t>
        </r>
      </text>
    </comment>
    <comment ref="H5" authorId="1">
      <text>
        <r>
          <rPr>
            <b/>
            <sz val="12"/>
            <color indexed="81"/>
            <rFont val="Arial"/>
            <family val="2"/>
          </rPr>
          <t xml:space="preserve">
This value is an estimate of feed consumed per kilogram liveweight gain based on</t>
        </r>
        <r>
          <rPr>
            <b/>
            <sz val="12"/>
            <color indexed="10"/>
            <rFont val="Arial"/>
            <family val="2"/>
          </rPr>
          <t xml:space="preserve"> Daily Intake</t>
        </r>
        <r>
          <rPr>
            <b/>
            <sz val="12"/>
            <color indexed="81"/>
            <rFont val="Arial"/>
            <family val="2"/>
          </rPr>
          <t xml:space="preserve"> and </t>
        </r>
        <r>
          <rPr>
            <b/>
            <sz val="12"/>
            <color indexed="10"/>
            <rFont val="Arial"/>
            <family val="2"/>
          </rPr>
          <t>Target Daily Growth Rates.</t>
        </r>
      </text>
    </comment>
    <comment ref="C6" authorId="2">
      <text>
        <r>
          <rPr>
            <b/>
            <sz val="12"/>
            <color indexed="10"/>
            <rFont val="Arial"/>
            <family val="2"/>
          </rPr>
          <t xml:space="preserve">
</t>
        </r>
        <r>
          <rPr>
            <b/>
            <sz val="12"/>
            <color indexed="81"/>
            <rFont val="Arial"/>
            <family val="2"/>
          </rPr>
          <t>A sale or contract price value  (does not include commission, transport etc costs)</t>
        </r>
        <r>
          <rPr>
            <b/>
            <sz val="12"/>
            <color indexed="10"/>
            <rFont val="Arial"/>
            <family val="2"/>
          </rPr>
          <t xml:space="preserve">
</t>
        </r>
        <r>
          <rPr>
            <b/>
            <sz val="12"/>
            <color indexed="81"/>
            <rFont val="Arial"/>
            <family val="2"/>
          </rPr>
          <t xml:space="preserve">If you select the </t>
        </r>
        <r>
          <rPr>
            <b/>
            <sz val="12"/>
            <color indexed="53"/>
            <rFont val="Arial"/>
            <family val="2"/>
          </rPr>
          <t xml:space="preserve">starting liveweight </t>
        </r>
        <r>
          <rPr>
            <b/>
            <sz val="12"/>
            <color indexed="81"/>
            <rFont val="Arial"/>
            <family val="2"/>
          </rPr>
          <t xml:space="preserve">and </t>
        </r>
        <r>
          <rPr>
            <b/>
            <sz val="12"/>
            <color indexed="53"/>
            <rFont val="Arial"/>
            <family val="2"/>
          </rPr>
          <t>skin</t>
        </r>
        <r>
          <rPr>
            <b/>
            <sz val="12"/>
            <color indexed="81"/>
            <rFont val="Arial"/>
            <family val="2"/>
          </rPr>
          <t xml:space="preserve"> option  </t>
        </r>
        <r>
          <rPr>
            <b/>
            <sz val="12"/>
            <color indexed="12"/>
            <rFont val="Arial"/>
            <family val="2"/>
          </rPr>
          <t>delete</t>
        </r>
        <r>
          <rPr>
            <b/>
            <sz val="12"/>
            <color indexed="81"/>
            <rFont val="Arial"/>
            <family val="2"/>
          </rPr>
          <t xml:space="preserve">  the </t>
        </r>
        <r>
          <rPr>
            <b/>
            <sz val="12"/>
            <color indexed="10"/>
            <rFont val="Arial"/>
            <family val="2"/>
          </rPr>
          <t xml:space="preserve">purchase price </t>
        </r>
        <r>
          <rPr>
            <b/>
            <sz val="12"/>
            <color indexed="81"/>
            <rFont val="Arial"/>
            <family val="2"/>
          </rPr>
          <t>(make blank or zero) value in Cell C8.</t>
        </r>
      </text>
    </comment>
    <comment ref="H6" authorId="1">
      <text>
        <r>
          <rPr>
            <b/>
            <sz val="12"/>
            <color indexed="10"/>
            <rFont val="Arial"/>
            <family val="2"/>
          </rPr>
          <t xml:space="preserve">
</t>
        </r>
        <r>
          <rPr>
            <b/>
            <sz val="12"/>
            <color indexed="81"/>
            <rFont val="Arial"/>
            <family val="2"/>
          </rPr>
          <t xml:space="preserve">This value is an estimate of total feed consumed </t>
        </r>
        <r>
          <rPr>
            <b/>
            <u/>
            <sz val="12"/>
            <color indexed="81"/>
            <rFont val="Arial"/>
            <family val="2"/>
          </rPr>
          <t>plus</t>
        </r>
        <r>
          <rPr>
            <b/>
            <sz val="12"/>
            <color indexed="81"/>
            <rFont val="Arial"/>
            <family val="2"/>
          </rPr>
          <t xml:space="preserve"> that lost through storage and while feeding stock (if the latter options have been included in the relevant "INPUTS" section)
Provides you with an estimate for feed required on-farm and/or the quantities required prior to feeding.</t>
        </r>
      </text>
    </comment>
    <comment ref="C7" authorId="1">
      <text>
        <r>
          <rPr>
            <b/>
            <sz val="12"/>
            <color indexed="10"/>
            <rFont val="Arial"/>
            <family val="2"/>
          </rPr>
          <t xml:space="preserve">
</t>
        </r>
        <r>
          <rPr>
            <b/>
            <sz val="12"/>
            <color indexed="81"/>
            <rFont val="Arial"/>
            <family val="2"/>
          </rPr>
          <t>Skin values may vary depending on skin area, breed type, wool lengths etc. 
They may constitute 10 to 15% of final lamb or sheep value.</t>
        </r>
      </text>
    </comment>
    <comment ref="C8" authorId="2">
      <text>
        <r>
          <rPr>
            <b/>
            <sz val="12"/>
            <color indexed="81"/>
            <rFont val="Arial"/>
            <family val="2"/>
          </rPr>
          <t xml:space="preserve">
This price will override the </t>
        </r>
        <r>
          <rPr>
            <b/>
            <sz val="12"/>
            <color indexed="10"/>
            <rFont val="Arial"/>
            <family val="2"/>
          </rPr>
          <t xml:space="preserve">Starting Liveweight </t>
        </r>
        <r>
          <rPr>
            <b/>
            <sz val="12"/>
            <color indexed="81"/>
            <rFont val="Arial"/>
            <family val="2"/>
          </rPr>
          <t xml:space="preserve">(C5) and </t>
        </r>
        <r>
          <rPr>
            <b/>
            <sz val="12"/>
            <color indexed="10"/>
            <rFont val="Arial"/>
            <family val="2"/>
          </rPr>
          <t>Skin</t>
        </r>
        <r>
          <rPr>
            <b/>
            <sz val="12"/>
            <color indexed="81"/>
            <rFont val="Arial"/>
            <family val="2"/>
          </rPr>
          <t xml:space="preserve"> (C6) option cell values.
Leave blank if you entered carcase and skin values.
Enter </t>
        </r>
        <r>
          <rPr>
            <b/>
            <u/>
            <sz val="12"/>
            <color indexed="81"/>
            <rFont val="Arial"/>
            <family val="2"/>
          </rPr>
          <t>Estimated Sale</t>
        </r>
        <r>
          <rPr>
            <b/>
            <sz val="12"/>
            <color indexed="81"/>
            <rFont val="Arial"/>
            <family val="2"/>
          </rPr>
          <t xml:space="preserve"> or </t>
        </r>
        <r>
          <rPr>
            <b/>
            <u/>
            <sz val="12"/>
            <color indexed="81"/>
            <rFont val="Arial"/>
            <family val="2"/>
          </rPr>
          <t>Contract Price</t>
        </r>
        <r>
          <rPr>
            <b/>
            <sz val="12"/>
            <color indexed="81"/>
            <rFont val="Arial"/>
            <family val="2"/>
          </rPr>
          <t xml:space="preserve"> Value (do not deduct selling costs such as commision as these are accounted for on the "INPUTS" section).</t>
        </r>
      </text>
    </comment>
    <comment ref="H8" authorId="3">
      <text>
        <r>
          <rPr>
            <b/>
            <sz val="12"/>
            <color indexed="10"/>
            <rFont val="Arial"/>
            <family val="2"/>
          </rPr>
          <t xml:space="preserve">
</t>
        </r>
        <r>
          <rPr>
            <b/>
            <sz val="12"/>
            <color indexed="81"/>
            <rFont val="Arial"/>
            <family val="2"/>
          </rPr>
          <t>This value is an estimate of time required to reach the</t>
        </r>
        <r>
          <rPr>
            <b/>
            <sz val="12"/>
            <color indexed="10"/>
            <rFont val="Arial"/>
            <family val="2"/>
          </rPr>
          <t xml:space="preserve"> 
Average Target Sale Liveweight
</t>
        </r>
        <r>
          <rPr>
            <b/>
            <sz val="12"/>
            <color indexed="81"/>
            <rFont val="Arial"/>
            <family val="2"/>
          </rPr>
          <t xml:space="preserve">or is the time you have chosen to feed for maintenance etc
It includes a 2 week (normal) introduction period. </t>
        </r>
      </text>
    </comment>
    <comment ref="C9" authorId="0">
      <text>
        <r>
          <rPr>
            <b/>
            <sz val="12"/>
            <color indexed="81"/>
            <rFont val="Arial"/>
            <family val="2"/>
          </rPr>
          <t xml:space="preserve">
Use either full </t>
        </r>
        <r>
          <rPr>
            <b/>
            <sz val="12"/>
            <color indexed="10"/>
            <rFont val="Arial"/>
            <family val="2"/>
          </rPr>
          <t>(directly off feed)</t>
        </r>
        <r>
          <rPr>
            <b/>
            <sz val="12"/>
            <color indexed="81"/>
            <rFont val="Arial"/>
            <family val="2"/>
          </rPr>
          <t xml:space="preserve"> or fasted liveweights when entering starting and target values.</t>
        </r>
        <r>
          <rPr>
            <sz val="8"/>
            <color indexed="81"/>
            <rFont val="Tahoma"/>
            <family val="2"/>
          </rPr>
          <t xml:space="preserve">
</t>
        </r>
      </text>
    </comment>
    <comment ref="C11" authorId="3">
      <text>
        <r>
          <rPr>
            <b/>
            <sz val="12"/>
            <color indexed="81"/>
            <rFont val="Arial"/>
            <family val="2"/>
          </rPr>
          <t>Skin values may vary depending on skin area, breed type, wool lengths etc. 
They may constitute 10 to 15% of final lamb or sheep value.</t>
        </r>
      </text>
    </comment>
    <comment ref="N11" authorId="0">
      <text>
        <r>
          <rPr>
            <b/>
            <sz val="12"/>
            <color indexed="81"/>
            <rFont val="Arial"/>
            <family val="2"/>
          </rPr>
          <t xml:space="preserve">
This figure provides an estimate of the value adding potential of ration components when used in a feeding program </t>
        </r>
        <r>
          <rPr>
            <b/>
            <u/>
            <sz val="12"/>
            <color indexed="81"/>
            <rFont val="Arial"/>
            <family val="2"/>
          </rPr>
          <t>compared</t>
        </r>
        <r>
          <rPr>
            <b/>
            <sz val="12"/>
            <color indexed="81"/>
            <rFont val="Arial"/>
            <family val="2"/>
          </rPr>
          <t xml:space="preserve"> to the sale of these components
This estimate is calculated as shown below:
</t>
        </r>
        <r>
          <rPr>
            <b/>
            <sz val="12"/>
            <color indexed="12"/>
            <rFont val="Arial"/>
            <family val="2"/>
          </rPr>
          <t>(N</t>
        </r>
        <r>
          <rPr>
            <b/>
            <u/>
            <sz val="12"/>
            <color indexed="12"/>
            <rFont val="Arial"/>
            <family val="2"/>
          </rPr>
          <t>et profit) + (Total feed cost)</t>
        </r>
        <r>
          <rPr>
            <b/>
            <sz val="12"/>
            <color indexed="12"/>
            <rFont val="Arial"/>
            <family val="2"/>
          </rPr>
          <t xml:space="preserve">
Total feed cost</t>
        </r>
        <r>
          <rPr>
            <b/>
            <sz val="12"/>
            <color indexed="81"/>
            <rFont val="Arial"/>
            <family val="2"/>
          </rPr>
          <t xml:space="preserve">
</t>
        </r>
      </text>
    </comment>
    <comment ref="C12" authorId="2">
      <text>
        <r>
          <rPr>
            <b/>
            <sz val="12"/>
            <color indexed="81"/>
            <rFont val="Arial"/>
            <family val="2"/>
          </rPr>
          <t xml:space="preserve">
Dressing % will vary according to fat score, season, wool length, breed, sex, time off feed  and abattoir trim. 
As a </t>
        </r>
        <r>
          <rPr>
            <b/>
            <u/>
            <sz val="12"/>
            <color indexed="81"/>
            <rFont val="Arial"/>
            <family val="2"/>
          </rPr>
          <t>guide</t>
        </r>
        <r>
          <rPr>
            <b/>
            <sz val="12"/>
            <color indexed="81"/>
            <rFont val="Arial"/>
            <family val="2"/>
          </rPr>
          <t xml:space="preserve"> fat score 3, weaned 2nd X lambs generally dress 45%. Adjust this figure according to breed, fat score etc differences. 
For example:
If fat score 4 - add 2% (47%)
If fat score 2 - deduct 2% (43%)
If off feed 4 hours - deduct 1% (44%)
If off feed 12 hr - deduct 2% (43%)
If BLM or Merino deduct 1 (44%) or 3% (42%)
Cross bred lambs 44 to 52%
Merinos 40 to 48% </t>
        </r>
        <r>
          <rPr>
            <b/>
            <sz val="10"/>
            <color indexed="81"/>
            <rFont val="Arial"/>
            <family val="2"/>
          </rPr>
          <t xml:space="preserve">
</t>
        </r>
        <r>
          <rPr>
            <b/>
            <sz val="12"/>
            <color indexed="12"/>
            <rFont val="Arial"/>
            <family val="2"/>
          </rPr>
          <t>HCSW=Hot Standard Carcase Weight</t>
        </r>
        <r>
          <rPr>
            <b/>
            <sz val="10"/>
            <color indexed="81"/>
            <rFont val="Arial"/>
            <family val="2"/>
          </rPr>
          <t xml:space="preserve">
</t>
        </r>
      </text>
    </comment>
    <comment ref="H12" authorId="1">
      <text>
        <r>
          <rPr>
            <b/>
            <sz val="12"/>
            <color indexed="10"/>
            <rFont val="Arial"/>
            <family val="2"/>
          </rPr>
          <t xml:space="preserve">
</t>
        </r>
        <r>
          <rPr>
            <b/>
            <sz val="12"/>
            <color indexed="81"/>
            <rFont val="Arial"/>
            <family val="2"/>
          </rPr>
          <t xml:space="preserve">An estimate of daily gain based on ration feed value and breed/cross genetic potential
This estimate for example works on the assumption that growth rate potential is greater with increasing energy intake as shown below
Ration ME        </t>
        </r>
        <r>
          <rPr>
            <b/>
            <u/>
            <sz val="12"/>
            <color indexed="81"/>
            <rFont val="Arial"/>
            <family val="2"/>
          </rPr>
          <t>13</t>
        </r>
        <r>
          <rPr>
            <b/>
            <sz val="12"/>
            <color indexed="81"/>
            <rFont val="Arial"/>
            <family val="2"/>
          </rPr>
          <t xml:space="preserve">     </t>
        </r>
        <r>
          <rPr>
            <b/>
            <u/>
            <sz val="12"/>
            <color indexed="81"/>
            <rFont val="Arial"/>
            <family val="2"/>
          </rPr>
          <t>12</t>
        </r>
        <r>
          <rPr>
            <b/>
            <sz val="12"/>
            <color indexed="81"/>
            <rFont val="Arial"/>
            <family val="2"/>
          </rPr>
          <t xml:space="preserve">   </t>
        </r>
        <r>
          <rPr>
            <b/>
            <u/>
            <sz val="12"/>
            <color indexed="81"/>
            <rFont val="Arial"/>
            <family val="2"/>
          </rPr>
          <t>11</t>
        </r>
        <r>
          <rPr>
            <b/>
            <sz val="12"/>
            <color indexed="81"/>
            <rFont val="Arial"/>
            <family val="2"/>
          </rPr>
          <t xml:space="preserve">   </t>
        </r>
        <r>
          <rPr>
            <b/>
            <u/>
            <sz val="12"/>
            <color indexed="81"/>
            <rFont val="Arial"/>
            <family val="2"/>
          </rPr>
          <t>10</t>
        </r>
        <r>
          <rPr>
            <b/>
            <sz val="12"/>
            <color indexed="81"/>
            <rFont val="Arial"/>
            <family val="2"/>
          </rPr>
          <t xml:space="preserve">    </t>
        </r>
        <r>
          <rPr>
            <b/>
            <u/>
            <sz val="12"/>
            <color indexed="81"/>
            <rFont val="Arial"/>
            <family val="2"/>
          </rPr>
          <t>9</t>
        </r>
        <r>
          <rPr>
            <b/>
            <sz val="12"/>
            <color indexed="81"/>
            <rFont val="Arial"/>
            <family val="2"/>
          </rPr>
          <t xml:space="preserve">    
  Growth %         100    90   70   50   25     
Aim for a minimum of 11.5 to 12 ME in your ration to obtain reasonable /  fast growth rates
This value is an estimated guide only. Higher growth rates are possible than estimated values shown</t>
        </r>
      </text>
    </comment>
    <comment ref="C13" authorId="2">
      <text>
        <r>
          <rPr>
            <b/>
            <sz val="12"/>
            <color indexed="81"/>
            <rFont val="Arial"/>
            <family val="2"/>
          </rPr>
          <t xml:space="preserve">
This price will override the </t>
        </r>
        <r>
          <rPr>
            <b/>
            <sz val="12"/>
            <color indexed="10"/>
            <rFont val="Arial"/>
            <family val="2"/>
          </rPr>
          <t xml:space="preserve">Carcase Sale Price </t>
        </r>
        <r>
          <rPr>
            <b/>
            <sz val="12"/>
            <color indexed="81"/>
            <rFont val="Arial"/>
            <family val="2"/>
          </rPr>
          <t xml:space="preserve">(C10) and </t>
        </r>
        <r>
          <rPr>
            <b/>
            <sz val="12"/>
            <color indexed="10"/>
            <rFont val="Arial"/>
            <family val="2"/>
          </rPr>
          <t>Skin</t>
        </r>
        <r>
          <rPr>
            <b/>
            <sz val="12"/>
            <color indexed="81"/>
            <rFont val="Arial"/>
            <family val="2"/>
          </rPr>
          <t xml:space="preserve"> (C11) option cell values.
</t>
        </r>
        <r>
          <rPr>
            <b/>
            <sz val="12"/>
            <color indexed="12"/>
            <rFont val="Arial"/>
            <family val="2"/>
          </rPr>
          <t>Use Estimated Sale or Contract Price Values.</t>
        </r>
        <r>
          <rPr>
            <b/>
            <sz val="12"/>
            <color indexed="81"/>
            <rFont val="Arial"/>
            <family val="2"/>
          </rPr>
          <t xml:space="preserve">
</t>
        </r>
      </text>
    </comment>
    <comment ref="C14" authorId="3">
      <text>
        <r>
          <rPr>
            <b/>
            <sz val="12"/>
            <color indexed="81"/>
            <rFont val="Arial"/>
            <family val="2"/>
          </rPr>
          <t xml:space="preserve">
Breed type, seasonal conditions, ration and water quality, age, history of lambs/sheep being fed and genetic potential are some of the factors that may impact on growth rate within a feedlot.
</t>
        </r>
        <r>
          <rPr>
            <b/>
            <u/>
            <sz val="12"/>
            <color indexed="81"/>
            <rFont val="Arial"/>
            <family val="2"/>
          </rPr>
          <t>As a guide</t>
        </r>
        <r>
          <rPr>
            <b/>
            <sz val="12"/>
            <color indexed="81"/>
            <rFont val="Arial"/>
            <family val="2"/>
          </rPr>
          <t xml:space="preserve">: ( unrestricted feed) -
Merino lambs                       150 - 240 g/h/d   
Border Leicester/Merino  170 - 260 g/h/d
Dual Purpose                       150 - 290 g/h/d
Terminal Sire/Merino          180 - 270 g/h/d
2ndX Lambs                          210 - 320 g/h/d
Adult Merino                           50 - 260 g/h/d
</t>
        </r>
      </text>
    </comment>
    <comment ref="C15" authorId="3">
      <text>
        <r>
          <rPr>
            <b/>
            <sz val="12"/>
            <color indexed="81"/>
            <rFont val="Arial"/>
            <family val="2"/>
          </rPr>
          <t xml:space="preserve">
This value will override 
</t>
        </r>
        <r>
          <rPr>
            <b/>
            <sz val="12"/>
            <color indexed="10"/>
            <rFont val="Arial"/>
            <family val="2"/>
          </rPr>
          <t>Target Daily Growth Rate</t>
        </r>
        <r>
          <rPr>
            <b/>
            <sz val="12"/>
            <color indexed="81"/>
            <rFont val="Arial"/>
            <family val="2"/>
          </rPr>
          <t xml:space="preserve"> (Cell C14). Leave blank if you selected a growth rate value</t>
        </r>
        <r>
          <rPr>
            <b/>
            <sz val="12"/>
            <color indexed="10"/>
            <rFont val="Arial"/>
            <family val="2"/>
          </rPr>
          <t xml:space="preserve"> 
</t>
        </r>
        <r>
          <rPr>
            <b/>
            <sz val="12"/>
            <color indexed="81"/>
            <rFont val="Arial"/>
            <family val="2"/>
          </rPr>
          <t xml:space="preserve">Can  be used when maintenance, drought or supplemetary feeding or as a production feeding option (eg Livesheep trade). 
It allows you to determine costs and the likelihood of reaching target weights in the time period you select. 
</t>
        </r>
      </text>
    </comment>
    <comment ref="C16" authorId="0">
      <text>
        <r>
          <rPr>
            <b/>
            <sz val="12"/>
            <color indexed="10"/>
            <rFont val="Arial"/>
            <family val="2"/>
          </rPr>
          <t xml:space="preserve">
</t>
        </r>
        <r>
          <rPr>
            <b/>
            <sz val="12"/>
            <color indexed="81"/>
            <rFont val="Arial"/>
            <family val="2"/>
          </rPr>
          <t>Intakes will vary depending on ration type, dry matter contents, ration energy value and genetic potential.
Intakes may range from 1.5 to 2.5% of liveweight (adult sheep) and between 2.7 to 5.0% of liveweight (DM basis) for lambs when production feeding.</t>
        </r>
        <r>
          <rPr>
            <b/>
            <sz val="12"/>
            <color indexed="10"/>
            <rFont val="Arial"/>
            <family val="2"/>
          </rPr>
          <t xml:space="preserve">
</t>
        </r>
        <r>
          <rPr>
            <b/>
            <sz val="12"/>
            <color indexed="81"/>
            <rFont val="Arial"/>
            <family val="2"/>
          </rPr>
          <t xml:space="preserve">
Low to nil roughage, high grain or pelleted diets and young lambs will generally have a greater daily intake as a percentage of liveweight.
Be wary of high moisture feeds (eg: silage), poor quality roughages and alternate feeds of low or poor digestibility. Lambs/sheep may not be able to meet their maintenance or growth requirements when fed low dry matter, poor quality rations
Animals on maintenance rations will need from 
1.0 to 1.8 % of LWT on a dry matter basis  depending on the ration's energy value 
ME(MJ)       8        9      10      11      12      13
Sheep       1.8    1.6    1.4     1.2     1.1     1.0
Lambs               1.7    1.5     1.2     1.1     1.0
</t>
        </r>
        <r>
          <rPr>
            <sz val="12"/>
            <color indexed="81"/>
            <rFont val="Arial"/>
            <family val="2"/>
          </rPr>
          <t xml:space="preserve">
.</t>
        </r>
      </text>
    </comment>
    <comment ref="H17" authorId="3">
      <text>
        <r>
          <rPr>
            <b/>
            <sz val="12"/>
            <color indexed="81"/>
            <rFont val="Arial"/>
            <family val="2"/>
          </rPr>
          <t xml:space="preserve">
ME influences animal performance. 
Rations containing more than 12 MJ ME/kg DM are recommended if maximum growth rate is desired.
The following is a guide to the % of genetic potential that can be expected at different ME (energy) levels
ME     growth %
13            100
12             90 
11             70
10             50
   9             25 
90% =high growth without excess fat deposition</t>
        </r>
      </text>
    </comment>
    <comment ref="H18" authorId="3">
      <text>
        <r>
          <rPr>
            <b/>
            <sz val="12"/>
            <color indexed="81"/>
            <rFont val="Arial"/>
            <family val="2"/>
          </rPr>
          <t xml:space="preserve">
A lambs protein requirements will vary according to age, liveweight and energy intake. Protein requirements decline as a lamb ages and rations can be modified to ensure requirements are met throughout the feeding period.
Ensure energy and protein are 'balanced'. This is particularly important during feedlot entry.  
             </t>
        </r>
        <r>
          <rPr>
            <b/>
            <u/>
            <sz val="12"/>
            <color indexed="81"/>
            <rFont val="Arial"/>
            <family val="2"/>
          </rPr>
          <t xml:space="preserve">Recommended CP levels </t>
        </r>
        <r>
          <rPr>
            <b/>
            <sz val="12"/>
            <color indexed="81"/>
            <rFont val="Arial"/>
            <family val="2"/>
          </rPr>
          <t xml:space="preserve"> 
            ME         </t>
        </r>
        <r>
          <rPr>
            <b/>
            <u/>
            <sz val="12"/>
            <color indexed="81"/>
            <rFont val="Arial"/>
            <family val="2"/>
          </rPr>
          <t>11</t>
        </r>
        <r>
          <rPr>
            <b/>
            <sz val="12"/>
            <color indexed="81"/>
            <rFont val="Arial"/>
            <family val="2"/>
          </rPr>
          <t xml:space="preserve">         </t>
        </r>
        <r>
          <rPr>
            <b/>
            <u/>
            <sz val="12"/>
            <color indexed="81"/>
            <rFont val="Arial"/>
            <family val="2"/>
          </rPr>
          <t>12</t>
        </r>
        <r>
          <rPr>
            <b/>
            <sz val="12"/>
            <color indexed="81"/>
            <rFont val="Arial"/>
            <family val="2"/>
          </rPr>
          <t xml:space="preserve">        </t>
        </r>
        <r>
          <rPr>
            <b/>
            <u/>
            <sz val="12"/>
            <color indexed="81"/>
            <rFont val="Arial"/>
            <family val="2"/>
          </rPr>
          <t>13</t>
        </r>
        <r>
          <rPr>
            <b/>
            <sz val="12"/>
            <color indexed="81"/>
            <rFont val="Arial"/>
            <family val="2"/>
          </rPr>
          <t xml:space="preserve">            
           </t>
        </r>
        <r>
          <rPr>
            <b/>
            <u/>
            <sz val="12"/>
            <color indexed="81"/>
            <rFont val="Arial"/>
            <family val="2"/>
          </rPr>
          <t>20</t>
        </r>
        <r>
          <rPr>
            <b/>
            <sz val="12"/>
            <color indexed="81"/>
            <rFont val="Arial"/>
            <family val="2"/>
          </rPr>
          <t xml:space="preserve"> kg     14.5      16.5     18.2         
           </t>
        </r>
        <r>
          <rPr>
            <b/>
            <u/>
            <sz val="12"/>
            <color indexed="81"/>
            <rFont val="Arial"/>
            <family val="2"/>
          </rPr>
          <t>30</t>
        </r>
        <r>
          <rPr>
            <b/>
            <sz val="12"/>
            <color indexed="81"/>
            <rFont val="Arial"/>
            <family val="2"/>
          </rPr>
          <t xml:space="preserve"> kg     13.5      15.8     17.5               
           </t>
        </r>
        <r>
          <rPr>
            <b/>
            <u/>
            <sz val="12"/>
            <color indexed="81"/>
            <rFont val="Arial"/>
            <family val="2"/>
          </rPr>
          <t>40</t>
        </r>
        <r>
          <rPr>
            <b/>
            <sz val="12"/>
            <color indexed="81"/>
            <rFont val="Arial"/>
            <family val="2"/>
          </rPr>
          <t xml:space="preserve"> kg     11.0      13.8     16.8          
           </t>
        </r>
        <r>
          <rPr>
            <b/>
            <u/>
            <sz val="12"/>
            <color indexed="81"/>
            <rFont val="Arial"/>
            <family val="2"/>
          </rPr>
          <t>50</t>
        </r>
        <r>
          <rPr>
            <b/>
            <sz val="12"/>
            <color indexed="81"/>
            <rFont val="Arial"/>
            <family val="2"/>
          </rPr>
          <t xml:space="preserve"> kg     10.0      12.6     15.5   
</t>
        </r>
        <r>
          <rPr>
            <b/>
            <sz val="12"/>
            <color indexed="10"/>
            <rFont val="Arial"/>
            <family val="2"/>
          </rPr>
          <t xml:space="preserve">For maintenance feeding of dry, mature animals a minimum ration crude protein content of 6-7% is recommended. </t>
        </r>
      </text>
    </comment>
    <comment ref="H20" authorId="3">
      <text>
        <r>
          <rPr>
            <b/>
            <sz val="10"/>
            <color indexed="81"/>
            <rFont val="Tahoma"/>
            <family val="2"/>
          </rPr>
          <t xml:space="preserve">
</t>
        </r>
        <r>
          <rPr>
            <b/>
            <sz val="12"/>
            <color indexed="81"/>
            <rFont val="Arial"/>
            <family val="2"/>
          </rPr>
          <t>A rations calcium to phosphorus ratio should be 1.5 or 2:1 to minimise the risk of urinary calculi (bladder stones) and ensure normal muscle functioning. 
Anionic salts such as ammonium chloride may be included in the ration at 0.5% to acidify urine, mobilise calcium and prevent bladder stones forming.  Additional lime may be added to correct an imbalance.
Ensure ratio's are correct for manufactured feeds such as pellets. If ratio's are known  use the "OWN FEEDS" option on the "RATIONS" page.</t>
        </r>
      </text>
    </comment>
    <comment ref="M20" authorId="1">
      <text>
        <r>
          <rPr>
            <b/>
            <sz val="12"/>
            <color indexed="81"/>
            <rFont val="Arial"/>
            <family val="2"/>
          </rPr>
          <t xml:space="preserve">
Includes purchase, commission and transport to farm costs.</t>
        </r>
      </text>
    </comment>
    <comment ref="N20" authorId="4">
      <text>
        <r>
          <rPr>
            <b/>
            <sz val="12"/>
            <color indexed="81"/>
            <rFont val="Arial"/>
            <family val="2"/>
          </rPr>
          <t xml:space="preserve">
Includes transport out and sale commissions etc</t>
        </r>
      </text>
    </comment>
    <comment ref="M21" authorId="4">
      <text>
        <r>
          <rPr>
            <b/>
            <sz val="12"/>
            <color indexed="81"/>
            <rFont val="Arial"/>
            <family val="2"/>
          </rPr>
          <t xml:space="preserve">
Include costs associated with shearing, 
drenching, vaccinations and costs per lamb towards wool packs and supplies  etc costs</t>
        </r>
        <r>
          <rPr>
            <b/>
            <sz val="12"/>
            <color indexed="10"/>
            <rFont val="Arial"/>
            <family val="2"/>
          </rPr>
          <t xml:space="preserve">
</t>
        </r>
      </text>
    </comment>
    <comment ref="M23" authorId="1">
      <text>
        <r>
          <rPr>
            <b/>
            <sz val="12"/>
            <color indexed="81"/>
            <rFont val="Arial"/>
            <family val="2"/>
          </rPr>
          <t xml:space="preserve">
Per head labour costs  associated with operating a feeding program.
Estimates of costs are shown on the "INPUTS" page
These values will vary depending on operation size and infrastructure.</t>
        </r>
        <r>
          <rPr>
            <b/>
            <sz val="12"/>
            <color indexed="10"/>
            <rFont val="Arial"/>
            <family val="2"/>
          </rPr>
          <t xml:space="preserve">
</t>
        </r>
      </text>
    </comment>
    <comment ref="M24" authorId="1">
      <text>
        <r>
          <rPr>
            <b/>
            <sz val="12"/>
            <color indexed="81"/>
            <rFont val="Arial"/>
            <family val="2"/>
          </rPr>
          <t xml:space="preserve">
Includes </t>
        </r>
        <r>
          <rPr>
            <b/>
            <sz val="12"/>
            <color indexed="10"/>
            <rFont val="Arial"/>
            <family val="2"/>
          </rPr>
          <t>total intake</t>
        </r>
        <r>
          <rPr>
            <b/>
            <sz val="12"/>
            <color indexed="81"/>
            <rFont val="Arial"/>
            <family val="2"/>
          </rPr>
          <t xml:space="preserve"> plus storage and feeding out </t>
        </r>
        <r>
          <rPr>
            <b/>
            <sz val="12"/>
            <color indexed="10"/>
            <rFont val="Arial"/>
            <family val="2"/>
          </rPr>
          <t xml:space="preserve">losses </t>
        </r>
        <r>
          <rPr>
            <b/>
            <sz val="12"/>
            <color indexed="81"/>
            <rFont val="Arial"/>
            <family val="2"/>
          </rPr>
          <t xml:space="preserve">
(if latter values have been entered in "INPUTS" section).</t>
        </r>
      </text>
    </comment>
    <comment ref="M25" authorId="1">
      <text>
        <r>
          <rPr>
            <b/>
            <sz val="12"/>
            <color indexed="81"/>
            <rFont val="Arial"/>
            <family val="2"/>
          </rPr>
          <t xml:space="preserve">
Effectively  depreciation cost on capital invested when building a confinement area.
Is affected by capital cost, throughput, depreciation rates and  'use' attributable to your operation. </t>
        </r>
      </text>
    </comment>
  </commentList>
</comments>
</file>

<file path=xl/comments3.xml><?xml version="1.0" encoding="utf-8"?>
<comments xmlns="http://schemas.openxmlformats.org/spreadsheetml/2006/main">
  <authors>
    <author>Acer Valued Customer</author>
    <author>stanley</author>
    <author>NSW DPI Client</author>
    <author>Duddy</author>
    <author>DPI</author>
    <author>A satisfied Microsoft Office User</author>
    <author>NSW Ag Client</author>
  </authors>
  <commentList>
    <comment ref="I3" authorId="0">
      <text>
        <r>
          <rPr>
            <b/>
            <sz val="12"/>
            <color indexed="81"/>
            <rFont val="Arial"/>
            <family val="2"/>
          </rPr>
          <t xml:space="preserve">
Losses may be as high as 20 % if trail feeding due to trampling, soiling etc</t>
        </r>
      </text>
    </comment>
    <comment ref="B4" authorId="0">
      <text>
        <r>
          <rPr>
            <b/>
            <sz val="12"/>
            <color indexed="81"/>
            <rFont val="Arial"/>
            <family val="2"/>
          </rPr>
          <t xml:space="preserve">
0.5 - 2% is an average within industry.
Identify causes of loss and initiate any preventative measures necessary to reduce losses.
Consult a veterinarian if cause of deaths is unknown</t>
        </r>
      </text>
    </comment>
    <comment ref="I4" authorId="0">
      <text>
        <r>
          <rPr>
            <b/>
            <sz val="12"/>
            <color indexed="81"/>
            <rFont val="Arial"/>
            <family val="2"/>
          </rPr>
          <t xml:space="preserve">
Losses of up to 35 % are possible if feeding uncovered bales dumped on the ground
due to trampling, soiling etc</t>
        </r>
      </text>
    </comment>
    <comment ref="B5" authorId="0">
      <text>
        <r>
          <rPr>
            <b/>
            <sz val="12"/>
            <color indexed="81"/>
            <rFont val="Arial"/>
            <family val="2"/>
          </rPr>
          <t xml:space="preserve">
Professional feedlots should expect greater than 90% within a first draft.  
Seasonal or Opportunitistic feedlots should assume that 70 to 80% will meet the first draft target weights</t>
        </r>
      </text>
    </comment>
    <comment ref="I5" authorId="0">
      <text>
        <r>
          <rPr>
            <b/>
            <sz val="8"/>
            <color indexed="81"/>
            <rFont val="Tahoma"/>
            <family val="2"/>
          </rPr>
          <t xml:space="preserve">
</t>
        </r>
        <r>
          <rPr>
            <b/>
            <sz val="12"/>
            <color indexed="81"/>
            <rFont val="Arial"/>
            <family val="2"/>
          </rPr>
          <t>Storage losses (Grain) may be due to contamination, mould, disease, poorly sealed silo's etc</t>
        </r>
      </text>
    </comment>
    <comment ref="B6" authorId="0">
      <text>
        <r>
          <rPr>
            <b/>
            <sz val="12"/>
            <color indexed="81"/>
            <rFont val="Arial"/>
            <family val="2"/>
          </rPr>
          <t xml:space="preserve">
Shy feeder numbers may vary depending on breed type, social stress and feedlot design.
Assume 10% for opportunistic and 5% for commercial feedlots.
Assumptions for these lambs are:
    - no liveweight increase
    - 80% carcase price of first draft
    - 45% dressing %
    - 75% skin price of first draft
when sold per head - value 20% above inital value.</t>
        </r>
      </text>
    </comment>
    <comment ref="I6" authorId="0">
      <text>
        <r>
          <rPr>
            <b/>
            <sz val="8"/>
            <color indexed="81"/>
            <rFont val="Tahoma"/>
            <family val="2"/>
          </rPr>
          <t xml:space="preserve">
</t>
        </r>
        <r>
          <rPr>
            <b/>
            <sz val="12"/>
            <color indexed="81"/>
            <rFont val="Arial"/>
            <family val="2"/>
          </rPr>
          <t>Storage losses (Roughage) may be due to contamination, mould, disease, poorly sealed silage covers and exposure to weather(hay)  etc.</t>
        </r>
      </text>
    </comment>
    <comment ref="B7" authorId="0">
      <text>
        <r>
          <rPr>
            <b/>
            <sz val="12"/>
            <color indexed="81"/>
            <rFont val="Arial"/>
            <family val="2"/>
          </rPr>
          <t xml:space="preserve">
This figure is the calculated difference between starting number of animals minus those in first draft, shy feeder and death categories.
You cannot enter a value in this cell.
Modify this value by modifying the other categories listed above.</t>
        </r>
      </text>
    </comment>
    <comment ref="I7" authorId="0">
      <text>
        <r>
          <rPr>
            <b/>
            <sz val="12"/>
            <color indexed="81"/>
            <rFont val="Arial"/>
            <family val="2"/>
          </rPr>
          <t xml:space="preserve">
Labour costs will vary depending on the scale of operation.
</t>
        </r>
        <r>
          <rPr>
            <b/>
            <u/>
            <sz val="12"/>
            <color indexed="81"/>
            <rFont val="Arial"/>
            <family val="2"/>
          </rPr>
          <t>Suggested rates</t>
        </r>
        <r>
          <rPr>
            <b/>
            <sz val="12"/>
            <color indexed="81"/>
            <rFont val="Arial"/>
            <family val="2"/>
          </rPr>
          <t>:
 Self feeders = 5c/h/d 
Open troughs once daily = 10c/h/d 
Open troughs twice daily = 15c/h/d</t>
        </r>
      </text>
    </comment>
    <comment ref="I8" authorId="0">
      <text>
        <r>
          <rPr>
            <b/>
            <sz val="12"/>
            <color indexed="10"/>
            <rFont val="Arial"/>
            <family val="2"/>
          </rPr>
          <t xml:space="preserve">
</t>
        </r>
        <r>
          <rPr>
            <b/>
            <sz val="12"/>
            <color indexed="81"/>
            <rFont val="Arial"/>
            <family val="2"/>
          </rPr>
          <t>Value based on calculation:</t>
        </r>
        <r>
          <rPr>
            <b/>
            <sz val="12"/>
            <color indexed="10"/>
            <rFont val="Arial"/>
            <family val="2"/>
          </rPr>
          <t xml:space="preserve">
</t>
        </r>
        <r>
          <rPr>
            <b/>
            <u/>
            <sz val="12"/>
            <color indexed="12"/>
            <rFont val="Arial"/>
            <family val="2"/>
          </rPr>
          <t xml:space="preserve">(hours used) x ($rate) </t>
        </r>
        <r>
          <rPr>
            <b/>
            <sz val="12"/>
            <color indexed="12"/>
            <rFont val="Arial"/>
            <family val="2"/>
          </rPr>
          <t xml:space="preserve">
grain / roughage fed (tonnes).</t>
        </r>
      </text>
    </comment>
    <comment ref="I9" authorId="0">
      <text>
        <r>
          <rPr>
            <b/>
            <sz val="12"/>
            <color indexed="81"/>
            <rFont val="Arial"/>
            <family val="2"/>
          </rPr>
          <t xml:space="preserve">
It is recommended that all ration components be tested for energy, protein, dry matter etc.
Feed tests generally cost between $50 to $75 per sample analysed. </t>
        </r>
      </text>
    </comment>
    <comment ref="G11" authorId="1">
      <text>
        <r>
          <rPr>
            <b/>
            <sz val="12"/>
            <color indexed="81"/>
            <rFont val="Arial"/>
            <family val="2"/>
          </rPr>
          <t xml:space="preserve">
These headings can be changed to suit each operator.
Fixed costs include any establishment, infrastructure and machinery costs associated with a feedlot system and operation. </t>
        </r>
      </text>
    </comment>
    <comment ref="B14" authorId="2">
      <text>
        <r>
          <rPr>
            <b/>
            <sz val="12"/>
            <color indexed="81"/>
            <rFont val="Arial"/>
            <family val="2"/>
          </rPr>
          <t xml:space="preserve">
Draft 2 Selling Price HSCW allows you to enter a value for this draft relative to the 1st Draft. 
A value of 100% in Cell D14 will assume Draft 2 lambs are equal in value to Draft 1.
</t>
        </r>
        <r>
          <rPr>
            <b/>
            <sz val="12"/>
            <color indexed="12"/>
            <rFont val="Arial"/>
            <family val="2"/>
          </rPr>
          <t>The value can refer to carcase price OR a per head price</t>
        </r>
        <r>
          <rPr>
            <b/>
            <sz val="12"/>
            <color indexed="81"/>
            <rFont val="Arial"/>
            <family val="2"/>
          </rPr>
          <t xml:space="preserve">
While carcase price changes are often difficult to predict this option allows you to set variable values for each draft. 
For example selling Draft 2 lambs later than Draft 1 may mean a a higher price may be possible if going into a supply shortage period.</t>
        </r>
        <r>
          <rPr>
            <sz val="8"/>
            <color indexed="81"/>
            <rFont val="Tahoma"/>
            <family val="2"/>
          </rPr>
          <t xml:space="preserve">
.</t>
        </r>
      </text>
    </comment>
    <comment ref="B15" authorId="3">
      <text>
        <r>
          <rPr>
            <b/>
            <sz val="12"/>
            <color indexed="81"/>
            <rFont val="Arial"/>
            <family val="2"/>
          </rPr>
          <t xml:space="preserve">
Crossbred lamb skins with a minimum of 50mm length are generally prefered by the trade.   Merino skins with greater wool lengths may, at times, return more depending on the  wool market values.
Draft 2 Selling Price Skins allows you to enter a value for this draft relative to the 1st Draft. 
A value of 100% in Cell D15 will assume Draft 2 lambs are equal in value to Draft 1.
While skin price changes are often difficult to predict this option allows you to set variable values for each draft.</t>
        </r>
        <r>
          <rPr>
            <b/>
            <sz val="10"/>
            <color indexed="81"/>
            <rFont val="Arial"/>
            <family val="2"/>
          </rPr>
          <t xml:space="preserve"> </t>
        </r>
      </text>
    </comment>
    <comment ref="B16" authorId="2">
      <text>
        <r>
          <rPr>
            <b/>
            <sz val="12"/>
            <color indexed="10"/>
            <rFont val="Arial"/>
            <family val="2"/>
          </rPr>
          <t xml:space="preserve">
</t>
        </r>
        <r>
          <rPr>
            <b/>
            <sz val="12"/>
            <color indexed="81"/>
            <rFont val="Arial"/>
            <family val="2"/>
          </rPr>
          <t>A $ value here (D16) overrides the % value entered in D14 if the sale price is $/hd on the summary page.</t>
        </r>
      </text>
    </comment>
    <comment ref="B17" authorId="0">
      <text>
        <r>
          <rPr>
            <b/>
            <sz val="12"/>
            <color indexed="81"/>
            <rFont val="Arial"/>
            <family val="2"/>
          </rPr>
          <t xml:space="preserve">
Enter as a % of the purchase price or value of lambs at start of feeding period. 
</t>
        </r>
      </text>
    </comment>
    <comment ref="B19" authorId="2">
      <text>
        <r>
          <rPr>
            <b/>
            <sz val="12"/>
            <color indexed="81"/>
            <rFont val="Arial"/>
            <family val="2"/>
          </rPr>
          <t xml:space="preserve">
It is unlikely that you would  shear </t>
        </r>
        <r>
          <rPr>
            <b/>
            <u/>
            <sz val="12"/>
            <color indexed="81"/>
            <rFont val="Arial"/>
            <family val="2"/>
          </rPr>
          <t>and</t>
        </r>
        <r>
          <rPr>
            <b/>
            <sz val="12"/>
            <color indexed="81"/>
            <rFont val="Arial"/>
            <family val="2"/>
          </rPr>
          <t xml:space="preserve"> crutch the same lambs within 60 days of entering a feedlot. You may however choose to shear only a percentage of lambs such as "Draft 2" lambs who may remain in the feedlot longer.
Enter full cost associated with either option on a per head basis.</t>
        </r>
      </text>
    </comment>
    <comment ref="G19" authorId="2">
      <text>
        <r>
          <rPr>
            <b/>
            <sz val="12"/>
            <color indexed="81"/>
            <rFont val="Arial"/>
            <family val="2"/>
          </rPr>
          <t>If you do not want to include fixed costs leave this cell blank or enter '0'</t>
        </r>
      </text>
    </comment>
    <comment ref="B20" authorId="2">
      <text>
        <r>
          <rPr>
            <b/>
            <sz val="12"/>
            <color indexed="81"/>
            <rFont val="Arial"/>
            <family val="2"/>
          </rPr>
          <t xml:space="preserve">
It is unlikely that you would  shear </t>
        </r>
        <r>
          <rPr>
            <b/>
            <u/>
            <sz val="12"/>
            <color indexed="81"/>
            <rFont val="Arial"/>
            <family val="2"/>
          </rPr>
          <t>and</t>
        </r>
        <r>
          <rPr>
            <b/>
            <sz val="12"/>
            <color indexed="81"/>
            <rFont val="Arial"/>
            <family val="2"/>
          </rPr>
          <t xml:space="preserve"> crutch the same lambs within 60 days of entering a feedlot. You may however choose to crutch only a percentage of lambs as may be the case when buying in lambs of varying wool length.
Enter full cost associated with crutching on a per head basis. </t>
        </r>
        <r>
          <rPr>
            <b/>
            <sz val="12"/>
            <color indexed="10"/>
            <rFont val="Arial"/>
            <family val="2"/>
          </rPr>
          <t xml:space="preserve"> </t>
        </r>
        <r>
          <rPr>
            <b/>
            <sz val="12"/>
            <color indexed="81"/>
            <rFont val="Arial"/>
            <family val="2"/>
          </rPr>
          <t xml:space="preserve">
</t>
        </r>
      </text>
    </comment>
    <comment ref="G20" authorId="0">
      <text>
        <r>
          <rPr>
            <b/>
            <sz val="12"/>
            <color indexed="81"/>
            <rFont val="Arial"/>
            <family val="2"/>
          </rPr>
          <t xml:space="preserve">
This value relates to the 'capital cost' attributable to each lamb entering the feedlot over a 12 month  period.</t>
        </r>
      </text>
    </comment>
    <comment ref="B21" authorId="4">
      <text>
        <r>
          <rPr>
            <b/>
            <sz val="12"/>
            <color indexed="81"/>
            <rFont val="Arial"/>
            <family val="2"/>
          </rPr>
          <t xml:space="preserve">
Use an effective broad spectrum drench or equivalent. 
Check on withholding periods. Conduct a worm or drench test.
</t>
        </r>
      </text>
    </comment>
    <comment ref="B22" authorId="4">
      <text>
        <r>
          <rPr>
            <b/>
            <sz val="12"/>
            <color indexed="81"/>
            <rFont val="Arial"/>
            <family val="2"/>
          </rPr>
          <t xml:space="preserve">
Fly Control may only be necessary during warmer months. 
Check Witholding and Export Slaughter Intervals for the chemical used.
Consider the use of fly traps, shearing etc to reduce fly incidence</t>
        </r>
      </text>
    </comment>
    <comment ref="B23" authorId="3">
      <text>
        <r>
          <rPr>
            <b/>
            <sz val="12"/>
            <color indexed="81"/>
            <rFont val="Arial"/>
            <family val="2"/>
          </rPr>
          <t xml:space="preserve">
'Other' allows you to enter additional costs not offered in the current menu
eg: mineral drench</t>
        </r>
      </text>
    </comment>
    <comment ref="C23" authorId="5">
      <text>
        <r>
          <rPr>
            <b/>
            <sz val="8"/>
            <color indexed="81"/>
            <rFont val="Tahoma"/>
            <family val="2"/>
          </rPr>
          <t>B</t>
        </r>
        <r>
          <rPr>
            <b/>
            <sz val="11"/>
            <color indexed="81"/>
            <rFont val="Arial"/>
            <family val="2"/>
          </rPr>
          <t>e aware of vitamin deficiencies in specific areas or where pastures/feed are known to have a history of causing problems.  If in doubt consult advisors</t>
        </r>
      </text>
    </comment>
    <comment ref="B24" authorId="3">
      <text>
        <r>
          <rPr>
            <b/>
            <sz val="12"/>
            <color indexed="81"/>
            <rFont val="Arial"/>
            <family val="2"/>
          </rPr>
          <t xml:space="preserve">
'Other' allows you to enter additional costs not offered in the current menu
eg: mineral drench</t>
        </r>
      </text>
    </comment>
    <comment ref="B25" authorId="3">
      <text>
        <r>
          <rPr>
            <b/>
            <sz val="12"/>
            <color indexed="81"/>
            <rFont val="Arial"/>
            <family val="2"/>
          </rPr>
          <t xml:space="preserve">
Check Withholding Period and Export Slaughter Intervals for chemical used.</t>
        </r>
      </text>
    </comment>
    <comment ref="B26" authorId="3">
      <text>
        <r>
          <rPr>
            <b/>
            <sz val="12"/>
            <color indexed="81"/>
            <rFont val="Arial"/>
            <family val="2"/>
          </rPr>
          <t xml:space="preserve">
Be aware of vitamin deficiencies in specific areas or where pastures/feed are known to have a history of causing problems.  If in doubt consult advisors
Vaccination with Vitamin A,D and E may be necessary if lambs have not had a suitable green pick for 3 months prior to feedlotting.
A,D and E can also be administered within mineral supplements.</t>
        </r>
      </text>
    </comment>
    <comment ref="B27" authorId="3">
      <text>
        <r>
          <rPr>
            <b/>
            <sz val="12"/>
            <color indexed="81"/>
            <rFont val="Arial"/>
            <family val="2"/>
          </rPr>
          <t xml:space="preserve">
Vitamin B12 assists with the conversion of fatty acids to glucose, the primary energy source for lambs. 
Cobalt deficient areas, grazing of grass or cereal dominant pastures and younger stock who do not have fully functional rumens may benefit from a B12 injection.</t>
        </r>
      </text>
    </comment>
    <comment ref="B28" authorId="4">
      <text>
        <r>
          <rPr>
            <b/>
            <sz val="12"/>
            <color indexed="81"/>
            <rFont val="Arial"/>
            <family val="2"/>
          </rPr>
          <t xml:space="preserve">
If stock have been purchased ask about their vaccination history.  
Vaccinate prior to entering the feedlot and 4 to 6 weeks later to reduce pulpy kidney incidence. 
Be wary of vaccination site   
damage to carcase and skins.</t>
        </r>
        <r>
          <rPr>
            <b/>
            <sz val="10"/>
            <color indexed="81"/>
            <rFont val="Arial"/>
            <family val="2"/>
          </rPr>
          <t xml:space="preserve"> </t>
        </r>
      </text>
    </comment>
    <comment ref="B29" authorId="6">
      <text>
        <r>
          <rPr>
            <b/>
            <sz val="12"/>
            <color indexed="81"/>
            <rFont val="Arial"/>
            <family val="2"/>
          </rPr>
          <t xml:space="preserve">
Include all  costs associated with transporting lambs to the farm gate.</t>
        </r>
      </text>
    </comment>
    <comment ref="B30" authorId="6">
      <text>
        <r>
          <rPr>
            <b/>
            <sz val="12"/>
            <color indexed="81"/>
            <rFont val="Arial"/>
            <family val="2"/>
          </rPr>
          <t xml:space="preserve">
Include all  costs associated with transporting lambs to point of sale. 
Consider curfew times and minimise stress to ensure optimum carcase quality.</t>
        </r>
      </text>
    </comment>
    <comment ref="B31" authorId="3">
      <text>
        <r>
          <rPr>
            <b/>
            <sz val="12"/>
            <color indexed="81"/>
            <rFont val="Arial"/>
            <family val="2"/>
          </rPr>
          <t xml:space="preserve">
'Killing Costs' provides producers who pay for the slaughter of their lambs, such as wholesalers and most organic lamb producers, the option to include such costs.
Leave blank if you do not pay for lamb slaughter.</t>
        </r>
      </text>
    </comment>
    <comment ref="B32" authorId="3">
      <text>
        <r>
          <rPr>
            <b/>
            <sz val="12"/>
            <color indexed="81"/>
            <rFont val="Arial"/>
            <family val="2"/>
          </rPr>
          <t xml:space="preserve">
This value cannot be changed. It is currently set at a maximum of 20c and $1.50 for sheep and lambs respectively.
Lambs returning less than $75 per head (net) are charged 2c in every dollar up to the maximum shown.</t>
        </r>
      </text>
    </comment>
    <comment ref="B36" authorId="1">
      <text>
        <r>
          <rPr>
            <b/>
            <sz val="12"/>
            <color indexed="81"/>
            <rFont val="Arial"/>
            <family val="2"/>
          </rPr>
          <t xml:space="preserve">
Calculates supplies based on 180 kg bales. 
If commission is on a per bale basis add to bale costs and leave "Wool Commission" cell blank.</t>
        </r>
      </text>
    </comment>
    <comment ref="B37" authorId="0">
      <text>
        <r>
          <rPr>
            <b/>
            <sz val="12"/>
            <color indexed="81"/>
            <rFont val="Arial"/>
            <family val="2"/>
          </rPr>
          <t xml:space="preserve">
Calculates supplies based on 180 kg bales. 
If commission is on a per bale basis add to bale costs and leave "Wool Commission" cell blank.</t>
        </r>
      </text>
    </comment>
    <comment ref="C37" authorId="5">
      <text>
        <r>
          <rPr>
            <b/>
            <sz val="11"/>
            <color indexed="81"/>
            <rFont val="Arial"/>
            <family val="2"/>
          </rPr>
          <t>Where wholesaling, based on totla carcase weight sold.</t>
        </r>
      </text>
    </comment>
    <comment ref="B38" authorId="3">
      <text>
        <r>
          <rPr>
            <b/>
            <sz val="12"/>
            <color indexed="81"/>
            <rFont val="Arial"/>
            <family val="2"/>
          </rPr>
          <t xml:space="preserve">
'Carcase Freight' provides producers who pay for the transport of carcases to a wholesaler or retail outlet  the option to include such costs.
Leave blank if you do not pay for Carcase Freight.</t>
        </r>
      </text>
    </comment>
  </commentList>
</comments>
</file>

<file path=xl/sharedStrings.xml><?xml version="1.0" encoding="utf-8"?>
<sst xmlns="http://schemas.openxmlformats.org/spreadsheetml/2006/main" count="1314" uniqueCount="615">
  <si>
    <t>Purchase Lambs</t>
  </si>
  <si>
    <t>days</t>
  </si>
  <si>
    <t>Assumptions:</t>
  </si>
  <si>
    <t>%</t>
  </si>
  <si>
    <t>Feed Conversion</t>
  </si>
  <si>
    <t>Total</t>
  </si>
  <si>
    <t>Crutching</t>
  </si>
  <si>
    <t>Commission - Buy</t>
  </si>
  <si>
    <t>Commission - Sell</t>
  </si>
  <si>
    <t>Transport - In</t>
  </si>
  <si>
    <t>Triticale</t>
  </si>
  <si>
    <t>Lupins</t>
  </si>
  <si>
    <t>Enterprise</t>
  </si>
  <si>
    <t>Number</t>
  </si>
  <si>
    <t>Cost/tonne</t>
  </si>
  <si>
    <t>Liveweight Change</t>
  </si>
  <si>
    <t>Draft 1</t>
  </si>
  <si>
    <t>DM %</t>
  </si>
  <si>
    <t>ME</t>
  </si>
  <si>
    <t>Protein</t>
  </si>
  <si>
    <t>Wheat</t>
  </si>
  <si>
    <t>Sorghum</t>
  </si>
  <si>
    <t>Maize</t>
  </si>
  <si>
    <t>Barley</t>
  </si>
  <si>
    <t>Oats</t>
  </si>
  <si>
    <t>Bicarb</t>
  </si>
  <si>
    <t>Bentonite</t>
  </si>
  <si>
    <t>Lime</t>
  </si>
  <si>
    <t>Salt</t>
  </si>
  <si>
    <t>Molasses</t>
  </si>
  <si>
    <t>Peas</t>
  </si>
  <si>
    <t>Net Profit - Per Lamb</t>
  </si>
  <si>
    <t>Net Profit - Total</t>
  </si>
  <si>
    <t>Net Profit per day/lamb</t>
  </si>
  <si>
    <t>Acid Buff</t>
  </si>
  <si>
    <t>Additives</t>
  </si>
  <si>
    <t>Premix</t>
  </si>
  <si>
    <t>CP</t>
  </si>
  <si>
    <t>Canola</t>
  </si>
  <si>
    <t>Cottonseed</t>
  </si>
  <si>
    <t>Copra</t>
  </si>
  <si>
    <t>Corn Gluten</t>
  </si>
  <si>
    <t>Soyabean</t>
  </si>
  <si>
    <t>Sunflower</t>
  </si>
  <si>
    <t>Safflower</t>
  </si>
  <si>
    <t>Urea</t>
  </si>
  <si>
    <t>Skin Sale Price</t>
  </si>
  <si>
    <t>Wool and Skins</t>
  </si>
  <si>
    <t>$/tonne</t>
  </si>
  <si>
    <t>$</t>
  </si>
  <si>
    <t>Dep/yr %</t>
  </si>
  <si>
    <t>Feedlot buildings</t>
  </si>
  <si>
    <t>Feedlot yards</t>
  </si>
  <si>
    <t>Shearing shed</t>
  </si>
  <si>
    <t>Hay shed and silos</t>
  </si>
  <si>
    <t>Machinery</t>
  </si>
  <si>
    <t>Lambs per year for Depreciation</t>
  </si>
  <si>
    <t>Animal Input Information</t>
  </si>
  <si>
    <t>($/hd)</t>
  </si>
  <si>
    <t>(g/h/d)</t>
  </si>
  <si>
    <t>%LWT</t>
  </si>
  <si>
    <t>Shearing</t>
  </si>
  <si>
    <t xml:space="preserve">Crutching </t>
  </si>
  <si>
    <t>$/hd</t>
  </si>
  <si>
    <t xml:space="preserve">Drench </t>
  </si>
  <si>
    <t xml:space="preserve">Lice Control </t>
  </si>
  <si>
    <t xml:space="preserve">Transport - Out </t>
  </si>
  <si>
    <t xml:space="preserve">Transport - Wool </t>
  </si>
  <si>
    <t>$/bale</t>
  </si>
  <si>
    <t xml:space="preserve">Wool packs/Supplies </t>
  </si>
  <si>
    <t>Fixed Costs</t>
  </si>
  <si>
    <t>kgs</t>
  </si>
  <si>
    <t xml:space="preserve">Fleece price </t>
  </si>
  <si>
    <t>$/kg</t>
  </si>
  <si>
    <t>Feeding Costs</t>
  </si>
  <si>
    <t>Labour cost</t>
  </si>
  <si>
    <t>Machinery feedout cost</t>
  </si>
  <si>
    <t>kg</t>
  </si>
  <si>
    <t>Days on feed</t>
  </si>
  <si>
    <t xml:space="preserve">PRODUCTION SUMMARY </t>
  </si>
  <si>
    <t>PROFIT SUMMARY</t>
  </si>
  <si>
    <t>RATION SUMMARY</t>
  </si>
  <si>
    <t>Selling Lambs</t>
  </si>
  <si>
    <t>(%)</t>
  </si>
  <si>
    <t>% price</t>
  </si>
  <si>
    <t xml:space="preserve">Draft 1 lambs </t>
  </si>
  <si>
    <t xml:space="preserve">Deaths </t>
  </si>
  <si>
    <t xml:space="preserve">Shy Feeders </t>
  </si>
  <si>
    <t>Draft 2 lambs</t>
  </si>
  <si>
    <t xml:space="preserve">Draft 2 </t>
  </si>
  <si>
    <t>Value</t>
  </si>
  <si>
    <t>Draft 2 Selling Price  SKIN</t>
  </si>
  <si>
    <t>TOTAL</t>
  </si>
  <si>
    <t>Total other income</t>
  </si>
  <si>
    <t xml:space="preserve">TOTAL INCOME </t>
  </si>
  <si>
    <t xml:space="preserve">Other Income </t>
  </si>
  <si>
    <t>Wool commission</t>
  </si>
  <si>
    <t>Transport - Wool (bale)</t>
  </si>
  <si>
    <t xml:space="preserve">Wool packs/Supplies(bale) </t>
  </si>
  <si>
    <t>Animal Variable Costs</t>
  </si>
  <si>
    <t>TOTAL ANIMAL COSTS</t>
  </si>
  <si>
    <t xml:space="preserve">PROFIT AND LOSS </t>
  </si>
  <si>
    <t>kg sold</t>
  </si>
  <si>
    <t>c/l/d</t>
  </si>
  <si>
    <t>Labour (total time)</t>
  </si>
  <si>
    <t>Ration Costs</t>
  </si>
  <si>
    <t>TOTAL COSTS</t>
  </si>
  <si>
    <t>TOTAL FEED COSTS</t>
  </si>
  <si>
    <t>Machinery feedout</t>
  </si>
  <si>
    <t>Commission - Selling</t>
  </si>
  <si>
    <t>Depreciation $/lamb/year</t>
  </si>
  <si>
    <t>price</t>
  </si>
  <si>
    <t>income</t>
  </si>
  <si>
    <t>draft 1</t>
  </si>
  <si>
    <t>draft2</t>
  </si>
  <si>
    <t>shy</t>
  </si>
  <si>
    <t>wool</t>
  </si>
  <si>
    <t>total</t>
  </si>
  <si>
    <t>costs</t>
  </si>
  <si>
    <t>profit</t>
  </si>
  <si>
    <t>profit/lamb</t>
  </si>
  <si>
    <t>Costs</t>
  </si>
  <si>
    <t xml:space="preserve">Purchase </t>
  </si>
  <si>
    <t xml:space="preserve">Selling </t>
  </si>
  <si>
    <t xml:space="preserve">Running </t>
  </si>
  <si>
    <t>Labour</t>
  </si>
  <si>
    <t>Feed</t>
  </si>
  <si>
    <t>Fixed</t>
  </si>
  <si>
    <t>$/lamb</t>
  </si>
  <si>
    <t xml:space="preserve">change in feed </t>
  </si>
  <si>
    <t>Fed feed</t>
  </si>
  <si>
    <t>-10%</t>
  </si>
  <si>
    <t>Difference</t>
  </si>
  <si>
    <t>cost breakup</t>
  </si>
  <si>
    <t>change to new sheet - or hide</t>
  </si>
  <si>
    <t>Ca</t>
  </si>
  <si>
    <t>P</t>
  </si>
  <si>
    <t>Suggested CP for ME - balanced diet</t>
  </si>
  <si>
    <t>constant</t>
  </si>
  <si>
    <t>me</t>
  </si>
  <si>
    <t>wt</t>
  </si>
  <si>
    <t>mewt</t>
  </si>
  <si>
    <t>Crude Protein (CP)</t>
  </si>
  <si>
    <t xml:space="preserve">Ration cost </t>
  </si>
  <si>
    <t>$/tonne DM</t>
  </si>
  <si>
    <t>Interest Cost on Purchased Lambs</t>
  </si>
  <si>
    <t>Interest on Lambs</t>
  </si>
  <si>
    <t>DM%</t>
  </si>
  <si>
    <t>Silage</t>
  </si>
  <si>
    <t>Cost/lamb</t>
  </si>
  <si>
    <t>Pellet/Mix</t>
  </si>
  <si>
    <t>2nd Cross</t>
  </si>
  <si>
    <t>Merino</t>
  </si>
  <si>
    <t>BLM</t>
  </si>
  <si>
    <t>Cost</t>
  </si>
  <si>
    <t>Tonnes</t>
  </si>
  <si>
    <t>Lambs</t>
  </si>
  <si>
    <t>INPUTS</t>
  </si>
  <si>
    <t>lambs</t>
  </si>
  <si>
    <t>DM</t>
  </si>
  <si>
    <t>% Fed</t>
  </si>
  <si>
    <t>Feeders</t>
  </si>
  <si>
    <t>% DM</t>
  </si>
  <si>
    <t>Daily Intake</t>
  </si>
  <si>
    <t xml:space="preserve">Daily/grain </t>
  </si>
  <si>
    <t>Gain</t>
  </si>
  <si>
    <t>Grain Fed</t>
  </si>
  <si>
    <t>Avg LWT</t>
  </si>
  <si>
    <t>MWT</t>
  </si>
  <si>
    <t>ME Maint</t>
  </si>
  <si>
    <t>Mj/D</t>
  </si>
  <si>
    <t>Ration ME</t>
  </si>
  <si>
    <t>Mj/kg</t>
  </si>
  <si>
    <t>kg DM/d</t>
  </si>
  <si>
    <t>ME intake</t>
  </si>
  <si>
    <t>ME gain</t>
  </si>
  <si>
    <t>Effic gain</t>
  </si>
  <si>
    <t>g/ME</t>
  </si>
  <si>
    <t>2nd</t>
  </si>
  <si>
    <t>1st</t>
  </si>
  <si>
    <t>estimate</t>
  </si>
  <si>
    <t>GAIN</t>
  </si>
  <si>
    <t>kg/h/day DM</t>
  </si>
  <si>
    <t xml:space="preserve">Finishing Ration </t>
  </si>
  <si>
    <t>$/t Fed</t>
  </si>
  <si>
    <t>CALCULATION FOR GROWTH RATE PREDICTION</t>
  </si>
  <si>
    <t>MER</t>
  </si>
  <si>
    <t>BREED</t>
  </si>
  <si>
    <t>%FED</t>
  </si>
  <si>
    <t>% fed DM</t>
  </si>
  <si>
    <t>ME Units</t>
  </si>
  <si>
    <t>CP units</t>
  </si>
  <si>
    <t>$/t DM</t>
  </si>
  <si>
    <t xml:space="preserve">For further information </t>
  </si>
  <si>
    <t xml:space="preserve">Geoff Duddy DPI Yanco </t>
  </si>
  <si>
    <t>phone</t>
  </si>
  <si>
    <t>SUGGESTED DEFAULT VALUES</t>
  </si>
  <si>
    <t>0427 007490</t>
  </si>
  <si>
    <t>PRINT REPORTS</t>
  </si>
  <si>
    <t>02 6951 2688</t>
  </si>
  <si>
    <t>Decrease in feed ($tonneDM) by 10%</t>
  </si>
  <si>
    <t>Decrease in lambs start value by 10 cents/LWT</t>
  </si>
  <si>
    <t>% to Feedlot</t>
  </si>
  <si>
    <t>program for first time</t>
  </si>
  <si>
    <t xml:space="preserve">Recommended prior to using  </t>
  </si>
  <si>
    <t>Final</t>
  </si>
  <si>
    <t>Starter</t>
  </si>
  <si>
    <t>Price(t)</t>
  </si>
  <si>
    <t>Days on each Ration</t>
  </si>
  <si>
    <t>lwt gain%</t>
  </si>
  <si>
    <t>kgs gain</t>
  </si>
  <si>
    <t>start wt</t>
  </si>
  <si>
    <t>finish wt</t>
  </si>
  <si>
    <t>avg wt</t>
  </si>
  <si>
    <t>Days</t>
  </si>
  <si>
    <t>lwt gain daily finish</t>
  </si>
  <si>
    <t>daily intake % lwt</t>
  </si>
  <si>
    <t>Ration</t>
  </si>
  <si>
    <t>CP (% DM)</t>
  </si>
  <si>
    <t>Overall</t>
  </si>
  <si>
    <t xml:space="preserve">Ration </t>
  </si>
  <si>
    <t>CONCENTRATES</t>
  </si>
  <si>
    <t>losses inputs</t>
  </si>
  <si>
    <t>as %</t>
  </si>
  <si>
    <t>Needed</t>
  </si>
  <si>
    <t>daily intake kgs DM</t>
  </si>
  <si>
    <t>intake/lamb kgs DM</t>
  </si>
  <si>
    <t>% total ration DM</t>
  </si>
  <si>
    <t>Requirements to feed (kgs)</t>
  </si>
  <si>
    <t>(includes feed losses)</t>
  </si>
  <si>
    <t>Finish</t>
  </si>
  <si>
    <t>LAMBS</t>
  </si>
  <si>
    <t>TOTAL kgs</t>
  </si>
  <si>
    <t>Ration Cost</t>
  </si>
  <si>
    <t>Concentrates loses</t>
  </si>
  <si>
    <t>Starter Ration</t>
  </si>
  <si>
    <t>intake(no losses) DM</t>
  </si>
  <si>
    <t>intake kgs  FED</t>
  </si>
  <si>
    <t>roughage</t>
  </si>
  <si>
    <t>Ration 2</t>
  </si>
  <si>
    <t>cp needed</t>
  </si>
  <si>
    <t>values for equation</t>
  </si>
  <si>
    <t>daily gain</t>
  </si>
  <si>
    <t>Needed CP</t>
  </si>
  <si>
    <t xml:space="preserve">Proposed Feedlot Rations </t>
  </si>
  <si>
    <t>$/kg HCTW</t>
  </si>
  <si>
    <t>Need to get high energy levels in starter ration while feeding safe levels of grain</t>
  </si>
  <si>
    <t>BREEDS</t>
  </si>
  <si>
    <t>Feeds in Program</t>
  </si>
  <si>
    <t>Data Entry Form for FEEDLOT CALCULATOR</t>
  </si>
  <si>
    <t>Name</t>
  </si>
  <si>
    <t>Date</t>
  </si>
  <si>
    <t>Reference details</t>
  </si>
  <si>
    <t>Comments</t>
  </si>
  <si>
    <t>Reference</t>
  </si>
  <si>
    <t>STARTER</t>
  </si>
  <si>
    <t>RATION2</t>
  </si>
  <si>
    <t>USED</t>
  </si>
  <si>
    <t>Comment</t>
  </si>
  <si>
    <t>calculating cp for balanced diet based on ME and wt- multiple regression</t>
  </si>
  <si>
    <t>cp=2.11+1.41(ME)-0.381(WT)+0.0215(ME*WT)</t>
  </si>
  <si>
    <t>Ensure energy and protein are 'balanced', particularly for feedlot entry (initial LWT.)</t>
  </si>
  <si>
    <t>per head costs in yellow can be changed to suit</t>
  </si>
  <si>
    <t>calculations below</t>
  </si>
  <si>
    <t>feeds</t>
  </si>
  <si>
    <t>REMOVE ANY FEED NOT REQUIRED OR TYPE OVER AN EXISTING FEED</t>
  </si>
  <si>
    <t>Data Form provides a blank set of sheets that can be used to enter and collect information prior to doing a computer run</t>
  </si>
  <si>
    <t>SHOULD BE 100</t>
  </si>
  <si>
    <t>Target Daily Growth Rate</t>
  </si>
  <si>
    <t>Vaccine (Vitamin A,D,E or B12)</t>
  </si>
  <si>
    <t>Vaccine (5 or 6 in 1)</t>
  </si>
  <si>
    <t>AS FED</t>
  </si>
  <si>
    <t>TermMer.</t>
  </si>
  <si>
    <t>Intermed.</t>
  </si>
  <si>
    <t xml:space="preserve">Carcase Sale Price </t>
  </si>
  <si>
    <t>Carcase Dressing %</t>
  </si>
  <si>
    <t>{</t>
  </si>
  <si>
    <t>LOOK FOR COMMENT BOX -helpful hints</t>
  </si>
  <si>
    <t>ENTERPRISE</t>
  </si>
  <si>
    <t>CARCASE SUMMARY</t>
  </si>
  <si>
    <t>Written by G.Duddy, S. Semple and D. Stanley</t>
  </si>
  <si>
    <t>Fly Control</t>
  </si>
  <si>
    <t>Wool Commission</t>
  </si>
  <si>
    <t xml:space="preserve">Fleece Weight </t>
  </si>
  <si>
    <t xml:space="preserve">Crutching Weight </t>
  </si>
  <si>
    <t xml:space="preserve">Crutching Price </t>
  </si>
  <si>
    <t>DEFAULT VALUES</t>
  </si>
  <si>
    <t>GRAINS</t>
  </si>
  <si>
    <t>MEALS</t>
  </si>
  <si>
    <t>ROUGHAGE</t>
  </si>
  <si>
    <t>ADDITIVES</t>
  </si>
  <si>
    <t>Values in yellow areas can be changed to suit your needs.  They become default values for rations being fed</t>
  </si>
  <si>
    <t>ORIGINAL FEED VALUES ARE BELOW - PAGE DOWN</t>
  </si>
  <si>
    <t xml:space="preserve"> Feed Values</t>
  </si>
  <si>
    <t>Calcium %</t>
  </si>
  <si>
    <t>Phosphorus %</t>
  </si>
  <si>
    <t>Cost/tonne (Fed)</t>
  </si>
  <si>
    <t>Protein (% DM)</t>
  </si>
  <si>
    <t>Estimated LWT gain (g/h/d)</t>
  </si>
  <si>
    <t>Value Added Ration %</t>
  </si>
  <si>
    <t xml:space="preserve">INPUTS </t>
  </si>
  <si>
    <t xml:space="preserve">OUTPUTS </t>
  </si>
  <si>
    <t xml:space="preserve">Production </t>
  </si>
  <si>
    <t>Daily Feed (as fed)</t>
  </si>
  <si>
    <t>kg/day/lamb</t>
  </si>
  <si>
    <t>Total feed (as fed)</t>
  </si>
  <si>
    <t>kg/lamb</t>
  </si>
  <si>
    <t>HCWT (kg)</t>
  </si>
  <si>
    <t>Income/lamb ($/lamb)</t>
  </si>
  <si>
    <t>Draft1</t>
  </si>
  <si>
    <t xml:space="preserve">LOOK FOR COMMENT BOX </t>
  </si>
  <si>
    <t>Draft2</t>
  </si>
  <si>
    <t>Shy Feeders</t>
  </si>
  <si>
    <t>Wool</t>
  </si>
  <si>
    <t>AVERAGE PRICE</t>
  </si>
  <si>
    <t>Running Costs</t>
  </si>
  <si>
    <t>Costs/lamb ($/lamb)</t>
  </si>
  <si>
    <t xml:space="preserve">Reference or Comment </t>
  </si>
  <si>
    <t>Running costs</t>
  </si>
  <si>
    <t>run on 27/8/07 for drought</t>
  </si>
  <si>
    <t>Ration Costing (if required) AS FED</t>
  </si>
  <si>
    <t>Ingredient</t>
  </si>
  <si>
    <t>$/tonne (as fed)</t>
  </si>
  <si>
    <t>% fed</t>
  </si>
  <si>
    <t>Fixed Costs/lamb</t>
  </si>
  <si>
    <t>Labour Cost</t>
  </si>
  <si>
    <t>Ration Cost (as fed)</t>
  </si>
  <si>
    <t>Feedout Costs (as fed)</t>
  </si>
  <si>
    <t>Hay</t>
  </si>
  <si>
    <t>Ration DM</t>
  </si>
  <si>
    <t>Ration Average</t>
  </si>
  <si>
    <t>PROFIT ($/lamb)</t>
  </si>
  <si>
    <t>LOSS($/lamb)</t>
  </si>
  <si>
    <t xml:space="preserve">LAMB WEIGHT </t>
  </si>
  <si>
    <t>D1</t>
  </si>
  <si>
    <t>D2</t>
  </si>
  <si>
    <t>SHY</t>
  </si>
  <si>
    <t>Average HCWT(All)</t>
  </si>
  <si>
    <t>CAR WT</t>
  </si>
  <si>
    <t>AV WT</t>
  </si>
  <si>
    <t>AV $</t>
  </si>
  <si>
    <t xml:space="preserve">A basic cost of production calculator </t>
  </si>
  <si>
    <t>with no nutrition information</t>
  </si>
  <si>
    <t xml:space="preserve">An advanced cost of production calculator </t>
  </si>
  <si>
    <t>with  nutrition information</t>
  </si>
  <si>
    <t>NO</t>
  </si>
  <si>
    <t>KGS</t>
  </si>
  <si>
    <t>TOT</t>
  </si>
  <si>
    <t>Dual Merino</t>
  </si>
  <si>
    <t>adult</t>
  </si>
  <si>
    <t xml:space="preserve">Breed selected </t>
  </si>
  <si>
    <t>(Provides estimate of gain - a GUIDE ONLY)</t>
  </si>
  <si>
    <t xml:space="preserve">Starting Liveweight Value </t>
  </si>
  <si>
    <t>Starting Skin Value</t>
  </si>
  <si>
    <t>($/kg lwt)</t>
  </si>
  <si>
    <t>Lamb Cost</t>
  </si>
  <si>
    <t>Sale Price</t>
  </si>
  <si>
    <t>Average Dry Matter (DM)</t>
  </si>
  <si>
    <t xml:space="preserve">Total feed </t>
  </si>
  <si>
    <t xml:space="preserve">DAILY INTAKE </t>
  </si>
  <si>
    <t>per lamb fed</t>
  </si>
  <si>
    <t>per lamb dm</t>
  </si>
  <si>
    <t>Net Profit - Per Sheep</t>
  </si>
  <si>
    <t>COST SUMMARY ($/SHEEP)</t>
  </si>
  <si>
    <t>ERROR 1</t>
  </si>
  <si>
    <t>ERROR 2</t>
  </si>
  <si>
    <t>LOOKUP FOR ERRORS</t>
  </si>
  <si>
    <t>ERROR 3</t>
  </si>
  <si>
    <t>ERROR 4</t>
  </si>
  <si>
    <t>Check Growth Rate - out of expected range</t>
  </si>
  <si>
    <t>Check number of days on feed _Negative ??</t>
  </si>
  <si>
    <t>PROFIT</t>
  </si>
  <si>
    <t>Check profit LOSS OVER $100/animal</t>
  </si>
  <si>
    <t>Check profit PROFIT OVER $100/animal</t>
  </si>
  <si>
    <t>g/day</t>
  </si>
  <si>
    <t xml:space="preserve">Actual Growth Rate </t>
  </si>
  <si>
    <t>ERROR 5</t>
  </si>
  <si>
    <t xml:space="preserve">Check data entry - no growth rate or days </t>
  </si>
  <si>
    <r>
      <t xml:space="preserve">OR </t>
    </r>
    <r>
      <rPr>
        <sz val="12"/>
        <rFont val="Arial"/>
        <family val="2"/>
      </rPr>
      <t xml:space="preserve"> </t>
    </r>
    <r>
      <rPr>
        <b/>
        <sz val="12"/>
        <color indexed="12"/>
        <rFont val="Arial"/>
        <family val="2"/>
      </rPr>
      <t>Days on feed</t>
    </r>
    <r>
      <rPr>
        <sz val="12"/>
        <rFont val="Arial"/>
        <family val="2"/>
      </rPr>
      <t xml:space="preserve"> </t>
    </r>
  </si>
  <si>
    <t>HCSW</t>
  </si>
  <si>
    <t xml:space="preserve">Total HCSW </t>
  </si>
  <si>
    <t>Average HCSW ($/kg)</t>
  </si>
  <si>
    <t>(HCSW= Hot Standard Carcase Weight)</t>
  </si>
  <si>
    <t>Slaughter Levy</t>
  </si>
  <si>
    <t>Water Costs</t>
  </si>
  <si>
    <t>OR Draft 2 Selling price/animal</t>
  </si>
  <si>
    <t>Slaughter levy</t>
  </si>
  <si>
    <t>Daily Level of feeding (DM)</t>
  </si>
  <si>
    <t>Vaccine (Vitamin A,D,E)</t>
  </si>
  <si>
    <t>Vaccine (Vitamin B12)</t>
  </si>
  <si>
    <t>Transport - Out</t>
  </si>
  <si>
    <t>Mutton</t>
  </si>
  <si>
    <t>slaughter</t>
  </si>
  <si>
    <t>max</t>
  </si>
  <si>
    <t>Killing Costs</t>
  </si>
  <si>
    <t>Other</t>
  </si>
  <si>
    <t>PUR</t>
  </si>
  <si>
    <t>SEL</t>
  </si>
  <si>
    <t>RUN</t>
  </si>
  <si>
    <t>LAB</t>
  </si>
  <si>
    <t>FEED</t>
  </si>
  <si>
    <t>FIX</t>
  </si>
  <si>
    <t>Total Feed Test Costs</t>
  </si>
  <si>
    <t>Total Lab Feed Tests</t>
  </si>
  <si>
    <t>sel</t>
  </si>
  <si>
    <t>OWN</t>
  </si>
  <si>
    <t>Intermediate</t>
  </si>
  <si>
    <t>SUMMARY</t>
  </si>
  <si>
    <t>INTER.</t>
  </si>
  <si>
    <t>FINAL</t>
  </si>
  <si>
    <t>OVERALL</t>
  </si>
  <si>
    <t>DAYS</t>
  </si>
  <si>
    <t>%DAYS</t>
  </si>
  <si>
    <t>$dm</t>
  </si>
  <si>
    <t>$ fed</t>
  </si>
  <si>
    <t>Ca:P</t>
  </si>
  <si>
    <t>B</t>
  </si>
  <si>
    <t>C</t>
  </si>
  <si>
    <t>D</t>
  </si>
  <si>
    <t xml:space="preserve"> </t>
  </si>
  <si>
    <t>Sale details</t>
  </si>
  <si>
    <t>Ration Calcs</t>
  </si>
  <si>
    <t>dm</t>
  </si>
  <si>
    <t>DTH</t>
  </si>
  <si>
    <t>CAR$</t>
  </si>
  <si>
    <t>SKIN$</t>
  </si>
  <si>
    <t>TOT$</t>
  </si>
  <si>
    <t>AVG$</t>
  </si>
  <si>
    <t>SALE/HD</t>
  </si>
  <si>
    <t xml:space="preserve">Draft 2 Selling Price  </t>
  </si>
  <si>
    <t>Sale price averages</t>
  </si>
  <si>
    <t>Sheep Breed or Cross</t>
  </si>
  <si>
    <t>Number to be Fed</t>
  </si>
  <si>
    <t xml:space="preserve">Av Starting Liveweight </t>
  </si>
  <si>
    <t>(kg)</t>
  </si>
  <si>
    <t>($/skin)</t>
  </si>
  <si>
    <r>
      <t>OR</t>
    </r>
    <r>
      <rPr>
        <b/>
        <sz val="12"/>
        <rFont val="Arial"/>
        <family val="2"/>
      </rPr>
      <t xml:space="preserve">  </t>
    </r>
    <r>
      <rPr>
        <b/>
        <sz val="12"/>
        <color indexed="12"/>
        <rFont val="Arial"/>
        <family val="2"/>
      </rPr>
      <t>Purchase Price or Value on farm</t>
    </r>
  </si>
  <si>
    <t>Av Target Sale Liveweight</t>
  </si>
  <si>
    <t>(kg lwt)</t>
  </si>
  <si>
    <t>($/kg HSCW)</t>
  </si>
  <si>
    <r>
      <t>OR</t>
    </r>
    <r>
      <rPr>
        <b/>
        <sz val="12"/>
        <color indexed="12"/>
        <rFont val="Arial"/>
        <family val="2"/>
      </rPr>
      <t xml:space="preserve">  Sale Price/head</t>
    </r>
  </si>
  <si>
    <t>(days)</t>
  </si>
  <si>
    <t>(% of lwt)</t>
  </si>
  <si>
    <t>As Fed</t>
  </si>
  <si>
    <t>Metabolisable Energy (ME)</t>
  </si>
  <si>
    <t>Mj/kg DM</t>
  </si>
  <si>
    <t>to 1</t>
  </si>
  <si>
    <t>($)</t>
  </si>
  <si>
    <t>Total Costs                         ($)</t>
  </si>
  <si>
    <t>Income per head</t>
  </si>
  <si>
    <t>($/head)</t>
  </si>
  <si>
    <t>Costs per head</t>
  </si>
  <si>
    <t>Average HSCW (All)</t>
  </si>
  <si>
    <t>Ca:P ratio (estimate)</t>
  </si>
  <si>
    <t xml:space="preserve">Carcase Freight </t>
  </si>
  <si>
    <t>Feed out losses (Grain)</t>
  </si>
  <si>
    <t>Feed out losses (Roughage)</t>
  </si>
  <si>
    <t xml:space="preserve">Storage losses (Grain) </t>
  </si>
  <si>
    <t xml:space="preserve">Storage losses (Roughage) </t>
  </si>
  <si>
    <t>c/lamb/day</t>
  </si>
  <si>
    <t>Ration Components</t>
  </si>
  <si>
    <t>Grains</t>
  </si>
  <si>
    <t xml:space="preserve">Other Feeds </t>
  </si>
  <si>
    <t>Feed Type</t>
  </si>
  <si>
    <t>Processed Meals</t>
  </si>
  <si>
    <t>(cereal, pulse etc)</t>
  </si>
  <si>
    <t>Cost/tonne (As Fed)</t>
  </si>
  <si>
    <t>Straw</t>
  </si>
  <si>
    <t>Cereal hay 1</t>
  </si>
  <si>
    <t>Cereal hay 2</t>
  </si>
  <si>
    <t>Ration Details      (Calculated on an AS FED weight basis)</t>
  </si>
  <si>
    <t>$/tonne(DM)</t>
  </si>
  <si>
    <t>$/tonne (As Fed)</t>
  </si>
  <si>
    <t>Average DM %</t>
  </si>
  <si>
    <t>"OTHER" FEEDS</t>
  </si>
  <si>
    <t>based on Table 4 Feedlotting lambs agnote</t>
  </si>
  <si>
    <t>Start</t>
  </si>
  <si>
    <t xml:space="preserve">Est daily gain </t>
  </si>
  <si>
    <t>Recom ME</t>
  </si>
  <si>
    <t>Killing costs</t>
  </si>
  <si>
    <t>Bale Cost including Transport</t>
  </si>
  <si>
    <t>Wool Cut ( shearing+ crutchings)</t>
  </si>
  <si>
    <t>kg/hd</t>
  </si>
  <si>
    <t>Fleece price (shearing + crutching)</t>
  </si>
  <si>
    <t>Selling costs</t>
  </si>
  <si>
    <t>BUYING</t>
  </si>
  <si>
    <t>LAMB</t>
  </si>
  <si>
    <t>BUY COMMISSION</t>
  </si>
  <si>
    <t>TRANSPORT IN</t>
  </si>
  <si>
    <t>SELLING</t>
  </si>
  <si>
    <t xml:space="preserve">Selling Commission(lamb) </t>
  </si>
  <si>
    <t xml:space="preserve">Selling Commission(wool) </t>
  </si>
  <si>
    <t>SELL COMMISSION lamb</t>
  </si>
  <si>
    <t>SELL COMMISSION wool</t>
  </si>
  <si>
    <t>TYPE OF SHEEP (LAMB/ADULT)</t>
  </si>
  <si>
    <t>ADULT</t>
  </si>
  <si>
    <t>slaughter levy</t>
  </si>
  <si>
    <t xml:space="preserve">lamb </t>
  </si>
  <si>
    <t>mutton</t>
  </si>
  <si>
    <t xml:space="preserve">Interest on animals </t>
  </si>
  <si>
    <t xml:space="preserve">RUNNING </t>
  </si>
  <si>
    <t>SALES %</t>
  </si>
  <si>
    <t>Purchase Price or Value on farm</t>
  </si>
  <si>
    <t>Wool packs/Supplies and Transport</t>
  </si>
  <si>
    <t>Version 4.0</t>
  </si>
  <si>
    <t>Ration Storage/Feedout Losses(as fed)</t>
  </si>
  <si>
    <t>draft 2</t>
  </si>
  <si>
    <t>message</t>
  </si>
  <si>
    <r>
      <t xml:space="preserve">OR </t>
    </r>
    <r>
      <rPr>
        <b/>
        <sz val="12"/>
        <color indexed="12"/>
        <rFont val="Arial"/>
        <family val="2"/>
      </rPr>
      <t>Draft 2 Selling price/animal</t>
    </r>
  </si>
  <si>
    <t>DRAFT 2</t>
  </si>
  <si>
    <t>DRAFT 1</t>
  </si>
  <si>
    <t>HD</t>
  </si>
  <si>
    <t>HEAD</t>
  </si>
  <si>
    <r>
      <t xml:space="preserve">Draft 2 Selling Price  HCWT </t>
    </r>
    <r>
      <rPr>
        <sz val="12"/>
        <color indexed="10"/>
        <rFont val="Arial"/>
        <family val="2"/>
      </rPr>
      <t>OR</t>
    </r>
    <r>
      <rPr>
        <sz val="12"/>
        <rFont val="Arial"/>
        <family val="2"/>
      </rPr>
      <t xml:space="preserve"> </t>
    </r>
    <r>
      <rPr>
        <sz val="12"/>
        <color indexed="12"/>
        <rFont val="Arial"/>
        <family val="2"/>
      </rPr>
      <t>hd</t>
    </r>
  </si>
  <si>
    <t>Livestock Sales</t>
  </si>
  <si>
    <t>Total livestock sales</t>
  </si>
  <si>
    <t xml:space="preserve">SALE VALUES TO TFER </t>
  </si>
  <si>
    <t>change in price - effect on income for graph</t>
  </si>
  <si>
    <t>kg feed/kgLWT</t>
  </si>
  <si>
    <t>kg DMfeed/kgLWT</t>
  </si>
  <si>
    <t>Growth Rate</t>
  </si>
  <si>
    <t>g/h/day</t>
  </si>
  <si>
    <t>OR  Sale Price/head</t>
  </si>
  <si>
    <r>
      <t xml:space="preserve">OR </t>
    </r>
    <r>
      <rPr>
        <sz val="12"/>
        <rFont val="Arial"/>
        <family val="2"/>
      </rPr>
      <t xml:space="preserve"> </t>
    </r>
    <r>
      <rPr>
        <b/>
        <sz val="12"/>
        <rFont val="Arial"/>
        <family val="2"/>
      </rPr>
      <t>Days on feed</t>
    </r>
    <r>
      <rPr>
        <sz val="12"/>
        <rFont val="Arial"/>
        <family val="2"/>
      </rPr>
      <t xml:space="preserve"> </t>
    </r>
  </si>
  <si>
    <t>Basic Feedlot Calculator Data Form</t>
  </si>
  <si>
    <t xml:space="preserve">% ingredients should equal 100 </t>
  </si>
  <si>
    <t>RATION</t>
  </si>
  <si>
    <t xml:space="preserve">$/tonne </t>
  </si>
  <si>
    <t>Brewers grains (dry)</t>
  </si>
  <si>
    <t>Faba Beans</t>
  </si>
  <si>
    <t>Lucerne Hay</t>
  </si>
  <si>
    <t>Pasture Hay</t>
  </si>
  <si>
    <t>1ST</t>
  </si>
  <si>
    <t>2ND</t>
  </si>
  <si>
    <t>3RD</t>
  </si>
  <si>
    <t xml:space="preserve">VALUE IN YELLOW AREAS CAN BE CHANGED - check default values if you need assistance </t>
  </si>
  <si>
    <t>Straw/Hay</t>
  </si>
  <si>
    <t>SHEEP/LAMB   Feedlot Calculator</t>
  </si>
  <si>
    <r>
      <t xml:space="preserve">SHEEP/LAMB     </t>
    </r>
    <r>
      <rPr>
        <b/>
        <sz val="20"/>
        <color indexed="9"/>
        <rFont val="Arial"/>
        <family val="2"/>
      </rPr>
      <t xml:space="preserve"> Basic Feedlot Calculator </t>
    </r>
  </si>
  <si>
    <r>
      <t xml:space="preserve">SHEEP/LAMB </t>
    </r>
    <r>
      <rPr>
        <b/>
        <sz val="26"/>
        <color indexed="9"/>
        <rFont val="Arial"/>
        <family val="2"/>
      </rPr>
      <t xml:space="preserve">     </t>
    </r>
    <r>
      <rPr>
        <b/>
        <sz val="20"/>
        <color indexed="9"/>
        <rFont val="Arial"/>
        <family val="2"/>
      </rPr>
      <t xml:space="preserve"> FEEDLOT CALCULATOR  Data Entry and Summary Information</t>
    </r>
  </si>
  <si>
    <r>
      <t xml:space="preserve">SHEEP/LAMB    </t>
    </r>
    <r>
      <rPr>
        <b/>
        <sz val="18"/>
        <color indexed="9"/>
        <rFont val="Arial"/>
        <family val="2"/>
      </rPr>
      <t xml:space="preserve"> PRODUCTION INPUT INFORMATION</t>
    </r>
  </si>
  <si>
    <t>Income -</t>
  </si>
  <si>
    <t xml:space="preserve">Intermediate Ration </t>
  </si>
  <si>
    <t>SKIN</t>
  </si>
  <si>
    <t>HEAD%</t>
  </si>
  <si>
    <t xml:space="preserve">estimate of growth rate </t>
  </si>
  <si>
    <t xml:space="preserve">Adult Merino </t>
  </si>
  <si>
    <t>Lamb 2 x</t>
  </si>
  <si>
    <t>breed</t>
  </si>
  <si>
    <t>gain</t>
  </si>
  <si>
    <t xml:space="preserve">Roughage fed final ration </t>
  </si>
  <si>
    <t>lower gain - high roughage diets</t>
  </si>
  <si>
    <t>Daily intake (DM basis)</t>
  </si>
  <si>
    <t>Wool value (shearing and/or crutchings)</t>
  </si>
  <si>
    <t>Wool Cut ( shearing and/or crutchings)</t>
  </si>
  <si>
    <t>Fly and/or Lice Control</t>
  </si>
  <si>
    <r>
      <t xml:space="preserve">HEADINGS ARE CHANGED BY SELECTING LIST OPTION </t>
    </r>
    <r>
      <rPr>
        <sz val="13"/>
        <color indexed="10"/>
        <rFont val="Arial"/>
        <family val="2"/>
      </rPr>
      <t>DELETE HEADING IF NOT NEEDED</t>
    </r>
  </si>
  <si>
    <t xml:space="preserve">Other </t>
  </si>
  <si>
    <t>OR  Purchase Price or Value on farm</t>
  </si>
  <si>
    <t xml:space="preserve">OR  Days on feed </t>
  </si>
  <si>
    <t>Draft 2 Selling Price  HCWT OR hd</t>
  </si>
  <si>
    <t>Adult Merino/XBD</t>
  </si>
  <si>
    <t>to put in feeds</t>
  </si>
  <si>
    <t>DM kgs</t>
  </si>
  <si>
    <t>% DM Roughage Fed</t>
  </si>
  <si>
    <t xml:space="preserve">Max value intake for breeds </t>
  </si>
  <si>
    <t>Adults</t>
  </si>
  <si>
    <t xml:space="preserve">Lambs </t>
  </si>
  <si>
    <t>adult message</t>
  </si>
  <si>
    <t>lamb message</t>
  </si>
  <si>
    <t>G/H</t>
  </si>
  <si>
    <r>
      <t xml:space="preserve">SHEEP/LAMB      </t>
    </r>
    <r>
      <rPr>
        <b/>
        <sz val="20"/>
        <rFont val="Arial"/>
        <family val="2"/>
      </rPr>
      <t xml:space="preserve"> FEEDLOT CALCULATOR  Data Entry and Summary Information</t>
    </r>
  </si>
  <si>
    <t xml:space="preserve">Total Costs                        </t>
  </si>
  <si>
    <t xml:space="preserve"> ($)</t>
  </si>
  <si>
    <t>%dm</t>
  </si>
  <si>
    <t>FED%</t>
  </si>
  <si>
    <t>Meals</t>
  </si>
  <si>
    <t>Other Feeds</t>
  </si>
  <si>
    <t>Pasture Silage</t>
  </si>
  <si>
    <t>Lucerne Silage</t>
  </si>
  <si>
    <t>Maize Silage</t>
  </si>
  <si>
    <t>Sorghum Silage</t>
  </si>
  <si>
    <t>Causmag</t>
  </si>
  <si>
    <t>PRICES WILL VARY DEPENDING BETWEEN SEASONS - USE CURRENT PRICES - DEFAULTS ARE A GUIDE ONLY</t>
  </si>
  <si>
    <t>Cottonseed(w)</t>
  </si>
  <si>
    <t>Cereal Hay 1</t>
  </si>
  <si>
    <t>Cereal Hay 2</t>
  </si>
  <si>
    <t>STRAW AND HAY</t>
  </si>
  <si>
    <t xml:space="preserve">SILAGE </t>
  </si>
  <si>
    <t>Cereal Silage</t>
  </si>
  <si>
    <t>Use the VIEW option to adjust each page (normally from 70 to 120%) to fit your monitor.</t>
  </si>
  <si>
    <t>Page 1</t>
  </si>
  <si>
    <t>Page 2</t>
  </si>
  <si>
    <t>Page 3</t>
  </si>
  <si>
    <t>Page 4</t>
  </si>
  <si>
    <t xml:space="preserve">Skin Sales ( revenue included here if NOT sold on per head basis) </t>
  </si>
  <si>
    <t>Other2</t>
  </si>
  <si>
    <t>Other1</t>
  </si>
  <si>
    <t>Total skin sales</t>
  </si>
  <si>
    <t>Practical Wisdom Sheets</t>
  </si>
  <si>
    <t>Primefacts</t>
  </si>
  <si>
    <t>SEE SUMMARY PAGE FOR COMMENT</t>
  </si>
  <si>
    <t>Finisher</t>
  </si>
  <si>
    <t>c</t>
  </si>
  <si>
    <t>d</t>
  </si>
  <si>
    <t>e</t>
  </si>
  <si>
    <t>ME (MJ/kg DM)</t>
  </si>
  <si>
    <t>MJ/kg DM</t>
  </si>
  <si>
    <t>Vaccine (3,5 or 6 in 1)</t>
  </si>
  <si>
    <t>Roughage loses</t>
  </si>
  <si>
    <t xml:space="preserve">For other information CLICK on button </t>
  </si>
  <si>
    <t>Should be ABOVE 1.5</t>
  </si>
  <si>
    <t>Cost:Benefit 1 :</t>
  </si>
  <si>
    <t>Carrots</t>
  </si>
  <si>
    <t>Pellets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</si>
</sst>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0_-;\-&quot;$&quot;* #,##0_-;_-&quot;$&quot;* &quot;-&quot;_-;_-@_-"/>
    <numFmt numFmtId="44" formatCode="_-&quot;$&quot;* #,##0.00_-;\-&quot;$&quot;* #,##0.00_-;_-&quot;$&quot;* &quot;-&quot;??_-;_-@_-"/>
    <numFmt numFmtId="43" formatCode="_-* #,##0.00_-;\-* #,##0.00_-;_-* &quot;-&quot;??_-;_-@_-"/>
    <numFmt numFmtId="172" formatCode="0.000"/>
    <numFmt numFmtId="173" formatCode="0.0"/>
    <numFmt numFmtId="175" formatCode="_-* #,##0_-;\-* #,##0_-;_-* &quot;-&quot;??_-;_-@_-"/>
    <numFmt numFmtId="179" formatCode="#,##0.0"/>
    <numFmt numFmtId="182" formatCode="0.0%"/>
    <numFmt numFmtId="186" formatCode="_-&quot;$&quot;* #,##0_-;\-&quot;$&quot;* #,##0_-;_-&quot;$&quot;* &quot;-&quot;??_-;_-@_-"/>
    <numFmt numFmtId="204" formatCode="_-&quot;$&quot;* #,##0.00_-;\-&quot;$&quot;* #,##0.00_-;_-&quot;$&quot;* &quot;-&quot;_-;_-@_-"/>
    <numFmt numFmtId="205" formatCode="#,##0_ ;\-#,##0\ "/>
  </numFmts>
  <fonts count="88" x14ac:knownFonts="1">
    <font>
      <sz val="10"/>
      <name val="Arial"/>
    </font>
    <font>
      <sz val="10"/>
      <name val="Arial"/>
    </font>
    <font>
      <sz val="11"/>
      <name val="Arial"/>
      <family val="2"/>
    </font>
    <font>
      <b/>
      <sz val="11"/>
      <name val="Arial"/>
      <family val="2"/>
    </font>
    <font>
      <b/>
      <sz val="11"/>
      <color indexed="12"/>
      <name val="Arial"/>
      <family val="2"/>
    </font>
    <font>
      <b/>
      <sz val="12"/>
      <name val="Arial"/>
      <family val="2"/>
    </font>
    <font>
      <b/>
      <sz val="10"/>
      <name val="Arial"/>
      <family val="2"/>
    </font>
    <font>
      <b/>
      <i/>
      <sz val="12"/>
      <name val="Arial"/>
      <family val="2"/>
    </font>
    <font>
      <sz val="12"/>
      <name val="Arial"/>
      <family val="2"/>
    </font>
    <font>
      <b/>
      <sz val="12"/>
      <color indexed="12"/>
      <name val="Arial"/>
      <family val="2"/>
    </font>
    <font>
      <b/>
      <sz val="12"/>
      <color indexed="10"/>
      <name val="Arial"/>
      <family val="2"/>
    </font>
    <font>
      <sz val="12"/>
      <color indexed="10"/>
      <name val="Arial"/>
      <family val="2"/>
    </font>
    <font>
      <sz val="12"/>
      <color indexed="12"/>
      <name val="Arial"/>
      <family val="2"/>
    </font>
    <font>
      <b/>
      <sz val="11"/>
      <color indexed="10"/>
      <name val="Arial"/>
      <family val="2"/>
    </font>
    <font>
      <b/>
      <sz val="10"/>
      <color indexed="10"/>
      <name val="Arial"/>
      <family val="2"/>
    </font>
    <font>
      <u/>
      <sz val="12"/>
      <name val="Arial"/>
      <family val="2"/>
    </font>
    <font>
      <b/>
      <u/>
      <sz val="12"/>
      <color indexed="10"/>
      <name val="Arial"/>
      <family val="2"/>
    </font>
    <font>
      <b/>
      <u/>
      <sz val="14"/>
      <color indexed="12"/>
      <name val="Arial"/>
      <family val="2"/>
    </font>
    <font>
      <sz val="8"/>
      <color indexed="81"/>
      <name val="Tahoma"/>
      <family val="2"/>
    </font>
    <font>
      <b/>
      <sz val="10"/>
      <color indexed="81"/>
      <name val="Tahoma"/>
      <family val="2"/>
    </font>
    <font>
      <sz val="11"/>
      <color indexed="12"/>
      <name val="Arial"/>
      <family val="2"/>
    </font>
    <font>
      <b/>
      <sz val="12"/>
      <color indexed="9"/>
      <name val="Arial"/>
      <family val="2"/>
    </font>
    <font>
      <sz val="11"/>
      <color indexed="9"/>
      <name val="Arial"/>
      <family val="2"/>
    </font>
    <font>
      <b/>
      <sz val="11"/>
      <color indexed="81"/>
      <name val="Tahoma"/>
      <family val="2"/>
    </font>
    <font>
      <b/>
      <sz val="11"/>
      <color indexed="81"/>
      <name val="Arial"/>
      <family val="2"/>
    </font>
    <font>
      <b/>
      <sz val="14"/>
      <name val="Arial"/>
      <family val="2"/>
    </font>
    <font>
      <b/>
      <sz val="12"/>
      <name val="Arial"/>
      <family val="2"/>
    </font>
    <font>
      <b/>
      <sz val="10"/>
      <color indexed="81"/>
      <name val="Arial"/>
      <family val="2"/>
    </font>
    <font>
      <b/>
      <sz val="18"/>
      <color indexed="9"/>
      <name val="Arial"/>
      <family val="2"/>
    </font>
    <font>
      <b/>
      <sz val="12"/>
      <color indexed="13"/>
      <name val="Arial"/>
      <family val="2"/>
    </font>
    <font>
      <sz val="11"/>
      <color indexed="42"/>
      <name val="Arial"/>
      <family val="2"/>
    </font>
    <font>
      <b/>
      <sz val="14"/>
      <name val="Arial"/>
      <family val="2"/>
    </font>
    <font>
      <b/>
      <sz val="20"/>
      <color indexed="9"/>
      <name val="Arial"/>
      <family val="2"/>
    </font>
    <font>
      <b/>
      <u/>
      <sz val="12"/>
      <name val="Arial"/>
      <family val="2"/>
    </font>
    <font>
      <b/>
      <sz val="18"/>
      <name val="Arial"/>
      <family val="2"/>
    </font>
    <font>
      <sz val="10"/>
      <name val="Arial"/>
      <family val="2"/>
    </font>
    <font>
      <b/>
      <sz val="36"/>
      <color indexed="10"/>
      <name val="Arial"/>
      <family val="2"/>
    </font>
    <font>
      <b/>
      <sz val="14"/>
      <color indexed="10"/>
      <name val="Arial"/>
      <family val="2"/>
    </font>
    <font>
      <b/>
      <sz val="12"/>
      <color indexed="12"/>
      <name val="Arial"/>
      <family val="2"/>
    </font>
    <font>
      <b/>
      <sz val="12"/>
      <color indexed="8"/>
      <name val="Arial"/>
      <family val="2"/>
    </font>
    <font>
      <b/>
      <sz val="12"/>
      <color indexed="10"/>
      <name val="Arial"/>
      <family val="2"/>
    </font>
    <font>
      <b/>
      <u/>
      <sz val="12"/>
      <name val="Arial"/>
      <family val="2"/>
    </font>
    <font>
      <u/>
      <sz val="12"/>
      <name val="Arial"/>
      <family val="2"/>
    </font>
    <font>
      <sz val="12"/>
      <name val="Arial"/>
      <family val="2"/>
    </font>
    <font>
      <sz val="14"/>
      <name val="Arial"/>
      <family val="2"/>
    </font>
    <font>
      <b/>
      <sz val="8"/>
      <color indexed="81"/>
      <name val="Tahoma"/>
      <family val="2"/>
    </font>
    <font>
      <b/>
      <sz val="11"/>
      <color indexed="9"/>
      <name val="Arial"/>
      <family val="2"/>
    </font>
    <font>
      <b/>
      <u/>
      <sz val="14"/>
      <color indexed="9"/>
      <name val="Arial"/>
      <family val="2"/>
    </font>
    <font>
      <b/>
      <sz val="14"/>
      <color indexed="9"/>
      <name val="Arial"/>
      <family val="2"/>
    </font>
    <font>
      <sz val="12"/>
      <color indexed="9"/>
      <name val="Arial"/>
      <family val="2"/>
    </font>
    <font>
      <sz val="10"/>
      <color indexed="9"/>
      <name val="Arial"/>
      <family val="2"/>
    </font>
    <font>
      <sz val="10"/>
      <name val="Arial"/>
      <family val="2"/>
    </font>
    <font>
      <sz val="14"/>
      <name val="Arial"/>
      <family val="2"/>
    </font>
    <font>
      <b/>
      <sz val="14"/>
      <color indexed="10"/>
      <name val="Wingdings 3"/>
      <family val="1"/>
      <charset val="2"/>
    </font>
    <font>
      <b/>
      <sz val="12"/>
      <color indexed="42"/>
      <name val="Arial"/>
      <family val="2"/>
    </font>
    <font>
      <sz val="10"/>
      <color indexed="42"/>
      <name val="Arial"/>
      <family val="2"/>
    </font>
    <font>
      <b/>
      <sz val="16"/>
      <name val="Arial"/>
      <family val="2"/>
    </font>
    <font>
      <sz val="10"/>
      <color indexed="10"/>
      <name val="Arial"/>
      <family val="2"/>
    </font>
    <font>
      <sz val="10"/>
      <color indexed="81"/>
      <name val="Arial"/>
      <family val="2"/>
    </font>
    <font>
      <b/>
      <sz val="12"/>
      <color indexed="81"/>
      <name val="Arial"/>
      <family val="2"/>
    </font>
    <font>
      <b/>
      <sz val="14"/>
      <color indexed="8"/>
      <name val="Arial"/>
      <family val="2"/>
    </font>
    <font>
      <b/>
      <sz val="16"/>
      <color indexed="9"/>
      <name val="Arial"/>
      <family val="2"/>
    </font>
    <font>
      <sz val="10"/>
      <name val="Arial"/>
      <family val="2"/>
    </font>
    <font>
      <b/>
      <sz val="12"/>
      <color indexed="11"/>
      <name val="Arial"/>
      <family val="2"/>
    </font>
    <font>
      <b/>
      <sz val="10"/>
      <color indexed="9"/>
      <name val="Arial"/>
      <family val="2"/>
    </font>
    <font>
      <b/>
      <u/>
      <sz val="12"/>
      <color indexed="81"/>
      <name val="Arial"/>
      <family val="2"/>
    </font>
    <font>
      <b/>
      <sz val="14"/>
      <color indexed="12"/>
      <name val="Arial"/>
      <family val="2"/>
    </font>
    <font>
      <sz val="12"/>
      <color indexed="8"/>
      <name val="Arial"/>
      <family val="2"/>
    </font>
    <font>
      <b/>
      <sz val="12"/>
      <color indexed="48"/>
      <name val="Arial"/>
      <family val="2"/>
    </font>
    <font>
      <sz val="12"/>
      <color indexed="81"/>
      <name val="Arial"/>
      <family val="2"/>
    </font>
    <font>
      <b/>
      <sz val="20"/>
      <name val="Arial"/>
      <family val="2"/>
    </font>
    <font>
      <b/>
      <u/>
      <sz val="14"/>
      <name val="Arial"/>
      <family val="2"/>
    </font>
    <font>
      <b/>
      <sz val="24"/>
      <color indexed="9"/>
      <name val="Arial"/>
      <family val="2"/>
    </font>
    <font>
      <b/>
      <sz val="26"/>
      <color indexed="9"/>
      <name val="Arial"/>
      <family val="2"/>
    </font>
    <font>
      <b/>
      <sz val="26"/>
      <color indexed="41"/>
      <name val="Arial"/>
      <family val="2"/>
    </font>
    <font>
      <sz val="11"/>
      <color indexed="41"/>
      <name val="Arial"/>
      <family val="2"/>
    </font>
    <font>
      <sz val="13"/>
      <name val="Arial"/>
      <family val="2"/>
    </font>
    <font>
      <sz val="13"/>
      <color indexed="10"/>
      <name val="Arial"/>
      <family val="2"/>
    </font>
    <font>
      <sz val="11"/>
      <color indexed="10"/>
      <name val="Arial"/>
      <family val="2"/>
    </font>
    <font>
      <b/>
      <sz val="26"/>
      <name val="Arial"/>
      <family val="2"/>
    </font>
    <font>
      <sz val="10"/>
      <name val="Arial"/>
      <family val="2"/>
    </font>
    <font>
      <b/>
      <sz val="14"/>
      <name val="Wingdings 3"/>
      <family val="1"/>
      <charset val="2"/>
    </font>
    <font>
      <b/>
      <sz val="12"/>
      <color indexed="53"/>
      <name val="Arial"/>
      <family val="2"/>
    </font>
    <font>
      <b/>
      <u/>
      <sz val="12"/>
      <color indexed="12"/>
      <name val="Arial"/>
      <family val="2"/>
    </font>
    <font>
      <sz val="14"/>
      <color indexed="10"/>
      <name val="Arial"/>
      <family val="2"/>
    </font>
    <font>
      <b/>
      <sz val="8"/>
      <color indexed="10"/>
      <name val="Arial"/>
      <family val="2"/>
    </font>
    <font>
      <sz val="10"/>
      <color indexed="42"/>
      <name val="Arial"/>
      <family val="2"/>
    </font>
    <font>
      <sz val="8"/>
      <name val="Arial"/>
      <family val="2"/>
    </font>
  </fonts>
  <fills count="16">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10"/>
        <bgColor indexed="64"/>
      </patternFill>
    </fill>
    <fill>
      <patternFill patternType="solid">
        <fgColor indexed="8"/>
        <bgColor indexed="64"/>
      </patternFill>
    </fill>
    <fill>
      <patternFill patternType="solid">
        <fgColor indexed="12"/>
        <bgColor indexed="64"/>
      </patternFill>
    </fill>
    <fill>
      <patternFill patternType="solid">
        <fgColor indexed="13"/>
        <bgColor indexed="64"/>
      </patternFill>
    </fill>
    <fill>
      <patternFill patternType="solid">
        <fgColor indexed="14"/>
        <bgColor indexed="64"/>
      </patternFill>
    </fill>
    <fill>
      <patternFill patternType="solid">
        <fgColor indexed="47"/>
        <bgColor indexed="64"/>
      </patternFill>
    </fill>
    <fill>
      <patternFill patternType="solid">
        <fgColor indexed="11"/>
        <bgColor indexed="64"/>
      </patternFill>
    </fill>
    <fill>
      <patternFill patternType="solid">
        <fgColor indexed="53"/>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indexed="22"/>
        <bgColor indexed="64"/>
      </patternFill>
    </fill>
  </fills>
  <borders count="7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006">
    <xf numFmtId="0" fontId="0" fillId="0" borderId="0" xfId="0"/>
    <xf numFmtId="0" fontId="2" fillId="2" borderId="0" xfId="0" applyFont="1" applyFill="1" applyBorder="1"/>
    <xf numFmtId="0" fontId="2" fillId="2" borderId="0" xfId="0" applyFont="1" applyFill="1"/>
    <xf numFmtId="0" fontId="41" fillId="2" borderId="0" xfId="0" applyFont="1" applyFill="1"/>
    <xf numFmtId="0" fontId="26" fillId="2" borderId="0" xfId="0" applyFont="1" applyFill="1" applyAlignment="1"/>
    <xf numFmtId="0" fontId="26" fillId="2" borderId="0" xfId="0" applyFont="1" applyFill="1" applyAlignment="1">
      <alignment horizontal="center"/>
    </xf>
    <xf numFmtId="0" fontId="43" fillId="2" borderId="0" xfId="0" applyFont="1" applyFill="1"/>
    <xf numFmtId="173" fontId="26" fillId="2" borderId="1" xfId="0" applyNumberFormat="1" applyFont="1" applyFill="1" applyBorder="1"/>
    <xf numFmtId="0" fontId="26" fillId="2" borderId="2" xfId="0" applyFont="1" applyFill="1" applyBorder="1" applyAlignment="1">
      <alignment horizontal="right"/>
    </xf>
    <xf numFmtId="0" fontId="26" fillId="2" borderId="3" xfId="0" applyFont="1" applyFill="1" applyBorder="1"/>
    <xf numFmtId="0" fontId="26" fillId="2" borderId="4" xfId="0" applyFont="1" applyFill="1" applyBorder="1"/>
    <xf numFmtId="0" fontId="43" fillId="2" borderId="2" xfId="0" applyFont="1" applyFill="1" applyBorder="1"/>
    <xf numFmtId="1" fontId="26" fillId="2" borderId="1" xfId="0" applyNumberFormat="1" applyFont="1" applyFill="1" applyBorder="1"/>
    <xf numFmtId="2" fontId="26" fillId="2" borderId="2" xfId="0" applyNumberFormat="1" applyFont="1" applyFill="1" applyBorder="1" applyAlignment="1">
      <alignment horizontal="right"/>
    </xf>
    <xf numFmtId="173" fontId="26" fillId="2" borderId="2" xfId="0" applyNumberFormat="1" applyFont="1" applyFill="1" applyBorder="1" applyAlignment="1">
      <alignment horizontal="right"/>
    </xf>
    <xf numFmtId="0" fontId="26" fillId="2" borderId="5" xfId="0" applyFont="1" applyFill="1" applyBorder="1"/>
    <xf numFmtId="0" fontId="26" fillId="2" borderId="6" xfId="0" applyFont="1" applyFill="1" applyBorder="1" applyAlignment="1">
      <alignment horizontal="center"/>
    </xf>
    <xf numFmtId="0" fontId="43" fillId="2" borderId="0" xfId="0" applyFont="1" applyFill="1" applyBorder="1"/>
    <xf numFmtId="0" fontId="42" fillId="2" borderId="2" xfId="0" applyFont="1" applyFill="1" applyBorder="1"/>
    <xf numFmtId="0" fontId="43" fillId="2" borderId="2" xfId="0" applyFont="1" applyFill="1" applyBorder="1" applyAlignment="1">
      <alignment horizontal="left"/>
    </xf>
    <xf numFmtId="0" fontId="25" fillId="2" borderId="0" xfId="0" applyFont="1" applyFill="1"/>
    <xf numFmtId="0" fontId="5" fillId="2" borderId="2" xfId="0" applyFont="1" applyFill="1" applyBorder="1" applyAlignment="1">
      <alignment horizontal="left"/>
    </xf>
    <xf numFmtId="0" fontId="5" fillId="2" borderId="2" xfId="0" applyFont="1" applyFill="1" applyBorder="1"/>
    <xf numFmtId="0" fontId="26" fillId="2" borderId="0" xfId="0" applyFont="1" applyFill="1" applyBorder="1" applyAlignment="1">
      <alignment horizontal="center"/>
    </xf>
    <xf numFmtId="0" fontId="26" fillId="2" borderId="0" xfId="0" applyFont="1" applyFill="1" applyBorder="1" applyAlignment="1"/>
    <xf numFmtId="0" fontId="8" fillId="2" borderId="2" xfId="0" applyFont="1" applyFill="1" applyBorder="1" applyAlignment="1">
      <alignment horizontal="left"/>
    </xf>
    <xf numFmtId="0" fontId="43" fillId="2" borderId="7" xfId="0" applyFont="1" applyFill="1" applyBorder="1"/>
    <xf numFmtId="0" fontId="43" fillId="2" borderId="8" xfId="0" applyFont="1" applyFill="1" applyBorder="1"/>
    <xf numFmtId="0" fontId="43" fillId="2" borderId="9" xfId="0" applyFont="1" applyFill="1" applyBorder="1"/>
    <xf numFmtId="0" fontId="43" fillId="2" borderId="10" xfId="0" applyFont="1" applyFill="1" applyBorder="1"/>
    <xf numFmtId="0" fontId="43" fillId="2" borderId="11" xfId="0" applyFont="1" applyFill="1" applyBorder="1"/>
    <xf numFmtId="0" fontId="0" fillId="3" borderId="0" xfId="0" applyFill="1" applyProtection="1">
      <protection hidden="1"/>
    </xf>
    <xf numFmtId="0" fontId="0" fillId="0" borderId="0" xfId="0" applyProtection="1">
      <protection hidden="1"/>
    </xf>
    <xf numFmtId="0" fontId="0" fillId="0" borderId="12" xfId="0" applyBorder="1" applyProtection="1">
      <protection hidden="1"/>
    </xf>
    <xf numFmtId="0" fontId="3" fillId="3" borderId="0" xfId="0" applyFont="1" applyFill="1" applyProtection="1">
      <protection hidden="1"/>
    </xf>
    <xf numFmtId="0" fontId="46" fillId="2" borderId="0" xfId="0" applyFont="1" applyFill="1" applyBorder="1" applyAlignment="1" applyProtection="1">
      <alignment horizontal="center"/>
      <protection hidden="1"/>
    </xf>
    <xf numFmtId="0" fontId="50" fillId="2" borderId="0" xfId="0" applyFont="1" applyFill="1" applyBorder="1" applyProtection="1">
      <protection hidden="1"/>
    </xf>
    <xf numFmtId="0" fontId="0" fillId="0" borderId="13" xfId="0" applyBorder="1" applyProtection="1">
      <protection hidden="1"/>
    </xf>
    <xf numFmtId="0" fontId="26" fillId="0" borderId="9" xfId="0" applyFont="1" applyBorder="1" applyAlignment="1" applyProtection="1">
      <alignment horizontal="center"/>
      <protection hidden="1"/>
    </xf>
    <xf numFmtId="0" fontId="26" fillId="0" borderId="14" xfId="0" applyFont="1" applyBorder="1" applyAlignment="1" applyProtection="1">
      <alignment horizontal="center"/>
      <protection hidden="1"/>
    </xf>
    <xf numFmtId="0" fontId="3" fillId="3" borderId="0" xfId="0" applyFont="1" applyFill="1" applyAlignment="1" applyProtection="1">
      <protection hidden="1"/>
    </xf>
    <xf numFmtId="0" fontId="39" fillId="3" borderId="0" xfId="0" applyFont="1" applyFill="1" applyBorder="1" applyAlignment="1" applyProtection="1">
      <alignment horizontal="left"/>
      <protection hidden="1"/>
    </xf>
    <xf numFmtId="0" fontId="0" fillId="2" borderId="0" xfId="0" applyFill="1" applyProtection="1">
      <protection hidden="1"/>
    </xf>
    <xf numFmtId="0" fontId="49" fillId="2" borderId="0" xfId="0" applyFont="1" applyFill="1" applyBorder="1" applyProtection="1">
      <protection hidden="1"/>
    </xf>
    <xf numFmtId="44" fontId="50" fillId="2" borderId="0" xfId="0" applyNumberFormat="1" applyFont="1" applyFill="1" applyBorder="1" applyProtection="1">
      <protection hidden="1"/>
    </xf>
    <xf numFmtId="0" fontId="1" fillId="2" borderId="0" xfId="0" applyFont="1" applyFill="1" applyProtection="1">
      <protection hidden="1"/>
    </xf>
    <xf numFmtId="0" fontId="35" fillId="2" borderId="0" xfId="0" applyFont="1" applyFill="1" applyProtection="1">
      <protection hidden="1"/>
    </xf>
    <xf numFmtId="0" fontId="0" fillId="0" borderId="0" xfId="0" applyAlignment="1" applyProtection="1">
      <alignment horizontal="left"/>
      <protection hidden="1"/>
    </xf>
    <xf numFmtId="0" fontId="51" fillId="2" borderId="15" xfId="0" applyFont="1" applyFill="1" applyBorder="1" applyProtection="1">
      <protection hidden="1"/>
    </xf>
    <xf numFmtId="0" fontId="51" fillId="0" borderId="0" xfId="0" applyFont="1"/>
    <xf numFmtId="0" fontId="3" fillId="2" borderId="0" xfId="0" applyFont="1" applyFill="1" applyBorder="1" applyAlignment="1" applyProtection="1">
      <alignment horizontal="center"/>
      <protection hidden="1"/>
    </xf>
    <xf numFmtId="0" fontId="51" fillId="2" borderId="10" xfId="0" applyFont="1" applyFill="1" applyBorder="1" applyProtection="1">
      <protection hidden="1"/>
    </xf>
    <xf numFmtId="0" fontId="3" fillId="2" borderId="0" xfId="0" applyFont="1" applyFill="1" applyBorder="1" applyProtection="1">
      <protection hidden="1"/>
    </xf>
    <xf numFmtId="2" fontId="3" fillId="2" borderId="0" xfId="0" applyNumberFormat="1" applyFont="1" applyFill="1" applyBorder="1" applyAlignment="1" applyProtection="1">
      <alignment horizontal="center"/>
      <protection hidden="1"/>
    </xf>
    <xf numFmtId="0" fontId="2" fillId="2" borderId="0" xfId="0" applyFont="1" applyFill="1" applyBorder="1" applyProtection="1">
      <protection hidden="1"/>
    </xf>
    <xf numFmtId="0" fontId="51" fillId="2" borderId="0" xfId="0" applyFont="1" applyFill="1" applyBorder="1" applyProtection="1">
      <protection hidden="1"/>
    </xf>
    <xf numFmtId="2" fontId="3" fillId="2" borderId="0" xfId="0" applyNumberFormat="1" applyFont="1" applyFill="1" applyBorder="1" applyAlignment="1" applyProtection="1">
      <alignment horizontal="right"/>
      <protection hidden="1"/>
    </xf>
    <xf numFmtId="2" fontId="51" fillId="2" borderId="0" xfId="0" applyNumberFormat="1" applyFont="1" applyFill="1" applyBorder="1" applyProtection="1">
      <protection hidden="1"/>
    </xf>
    <xf numFmtId="173" fontId="51" fillId="2" borderId="0" xfId="0" applyNumberFormat="1" applyFont="1" applyFill="1" applyBorder="1" applyProtection="1">
      <protection hidden="1"/>
    </xf>
    <xf numFmtId="0" fontId="51" fillId="2" borderId="9" xfId="0" applyFont="1" applyFill="1" applyBorder="1" applyProtection="1">
      <protection hidden="1"/>
    </xf>
    <xf numFmtId="0" fontId="51" fillId="2" borderId="6" xfId="0" applyFont="1" applyFill="1" applyBorder="1" applyProtection="1">
      <protection hidden="1"/>
    </xf>
    <xf numFmtId="0" fontId="51" fillId="2" borderId="0" xfId="0" applyFont="1" applyFill="1" applyBorder="1" applyAlignment="1" applyProtection="1">
      <alignment horizontal="left"/>
      <protection hidden="1"/>
    </xf>
    <xf numFmtId="1" fontId="51" fillId="2" borderId="0" xfId="0" applyNumberFormat="1" applyFont="1" applyFill="1" applyBorder="1" applyProtection="1">
      <protection hidden="1"/>
    </xf>
    <xf numFmtId="0" fontId="51" fillId="2" borderId="11" xfId="0" applyFont="1" applyFill="1" applyBorder="1" applyProtection="1">
      <protection hidden="1"/>
    </xf>
    <xf numFmtId="0" fontId="51" fillId="2" borderId="7" xfId="0" applyFont="1" applyFill="1" applyBorder="1" applyProtection="1">
      <protection hidden="1"/>
    </xf>
    <xf numFmtId="0" fontId="51" fillId="2" borderId="7" xfId="0" applyFont="1" applyFill="1" applyBorder="1" applyAlignment="1" applyProtection="1">
      <alignment horizontal="left"/>
      <protection hidden="1"/>
    </xf>
    <xf numFmtId="0" fontId="51" fillId="2" borderId="8" xfId="0" applyFont="1" applyFill="1" applyBorder="1" applyProtection="1">
      <protection hidden="1"/>
    </xf>
    <xf numFmtId="0" fontId="2" fillId="3" borderId="0" xfId="0" applyFont="1" applyFill="1" applyProtection="1">
      <protection hidden="1"/>
    </xf>
    <xf numFmtId="0" fontId="2" fillId="0" borderId="0" xfId="0" applyFont="1" applyProtection="1">
      <protection hidden="1"/>
    </xf>
    <xf numFmtId="0" fontId="2" fillId="3" borderId="0" xfId="0" applyFont="1" applyFill="1" applyBorder="1" applyProtection="1">
      <protection hidden="1"/>
    </xf>
    <xf numFmtId="0" fontId="8" fillId="3" borderId="0" xfId="0" applyFont="1" applyFill="1" applyBorder="1" applyProtection="1">
      <protection hidden="1"/>
    </xf>
    <xf numFmtId="44" fontId="5" fillId="3" borderId="0" xfId="2" applyFont="1" applyFill="1" applyBorder="1" applyProtection="1">
      <protection hidden="1"/>
    </xf>
    <xf numFmtId="0" fontId="2" fillId="0" borderId="0" xfId="0" applyFont="1" applyBorder="1" applyProtection="1">
      <protection hidden="1"/>
    </xf>
    <xf numFmtId="44" fontId="21" fillId="4" borderId="0" xfId="2" applyFont="1" applyFill="1" applyBorder="1" applyAlignment="1" applyProtection="1">
      <alignment horizontal="right"/>
      <protection hidden="1"/>
    </xf>
    <xf numFmtId="1" fontId="8" fillId="3" borderId="0" xfId="0" applyNumberFormat="1" applyFont="1" applyFill="1" applyBorder="1" applyProtection="1">
      <protection hidden="1"/>
    </xf>
    <xf numFmtId="0" fontId="3" fillId="0" borderId="0" xfId="0" applyFont="1" applyProtection="1">
      <protection hidden="1"/>
    </xf>
    <xf numFmtId="1" fontId="2" fillId="0" borderId="0" xfId="0" applyNumberFormat="1" applyFont="1" applyProtection="1">
      <protection hidden="1"/>
    </xf>
    <xf numFmtId="0" fontId="2" fillId="0" borderId="2" xfId="0" applyFont="1" applyBorder="1" applyProtection="1">
      <protection hidden="1"/>
    </xf>
    <xf numFmtId="0" fontId="29" fillId="5" borderId="2" xfId="0" applyFont="1" applyFill="1" applyBorder="1" applyProtection="1">
      <protection hidden="1"/>
    </xf>
    <xf numFmtId="0" fontId="29" fillId="5" borderId="0" xfId="0" applyFont="1" applyFill="1" applyProtection="1">
      <protection hidden="1"/>
    </xf>
    <xf numFmtId="0" fontId="30" fillId="3" borderId="0" xfId="0" applyFont="1" applyFill="1" applyProtection="1">
      <protection hidden="1"/>
    </xf>
    <xf numFmtId="0" fontId="8" fillId="3" borderId="0" xfId="0" applyFont="1" applyFill="1" applyProtection="1">
      <protection hidden="1"/>
    </xf>
    <xf numFmtId="0" fontId="3" fillId="3" borderId="0" xfId="0" applyFont="1" applyFill="1" applyBorder="1" applyProtection="1">
      <protection hidden="1"/>
    </xf>
    <xf numFmtId="0" fontId="3" fillId="2" borderId="5" xfId="0" applyFont="1" applyFill="1" applyBorder="1" applyProtection="1">
      <protection hidden="1"/>
    </xf>
    <xf numFmtId="0" fontId="3" fillId="2" borderId="6" xfId="0" applyFont="1" applyFill="1" applyBorder="1" applyProtection="1">
      <protection hidden="1"/>
    </xf>
    <xf numFmtId="0" fontId="3" fillId="2" borderId="9" xfId="0" applyFont="1" applyFill="1" applyBorder="1" applyProtection="1">
      <protection hidden="1"/>
    </xf>
    <xf numFmtId="0" fontId="25" fillId="2" borderId="0" xfId="0" applyFont="1" applyFill="1" applyBorder="1" applyAlignment="1" applyProtection="1">
      <protection hidden="1"/>
    </xf>
    <xf numFmtId="2" fontId="3" fillId="2" borderId="0" xfId="0" applyNumberFormat="1" applyFont="1" applyFill="1" applyBorder="1" applyProtection="1">
      <protection hidden="1"/>
    </xf>
    <xf numFmtId="1" fontId="3" fillId="2" borderId="0" xfId="0" applyNumberFormat="1" applyFont="1" applyFill="1" applyBorder="1" applyProtection="1">
      <protection hidden="1"/>
    </xf>
    <xf numFmtId="2" fontId="51" fillId="2" borderId="10" xfId="0" applyNumberFormat="1" applyFont="1" applyFill="1" applyBorder="1" applyProtection="1">
      <protection hidden="1"/>
    </xf>
    <xf numFmtId="173" fontId="3" fillId="2" borderId="0" xfId="0" applyNumberFormat="1" applyFont="1" applyFill="1" applyBorder="1" applyProtection="1">
      <protection hidden="1"/>
    </xf>
    <xf numFmtId="173" fontId="3" fillId="2" borderId="9" xfId="0" applyNumberFormat="1" applyFont="1" applyFill="1" applyBorder="1" applyProtection="1">
      <protection hidden="1"/>
    </xf>
    <xf numFmtId="0" fontId="3" fillId="2" borderId="0" xfId="0" applyFont="1" applyFill="1" applyBorder="1" applyAlignment="1" applyProtection="1">
      <alignment horizontal="right"/>
      <protection hidden="1"/>
    </xf>
    <xf numFmtId="0" fontId="3" fillId="2" borderId="10" xfId="0" applyFont="1" applyFill="1" applyBorder="1" applyAlignment="1" applyProtection="1">
      <alignment horizontal="center"/>
      <protection hidden="1"/>
    </xf>
    <xf numFmtId="2" fontId="8" fillId="2" borderId="0" xfId="0" applyNumberFormat="1" applyFont="1" applyFill="1" applyBorder="1" applyAlignment="1" applyProtection="1">
      <alignment horizontal="right"/>
      <protection hidden="1"/>
    </xf>
    <xf numFmtId="0" fontId="8" fillId="2" borderId="0" xfId="0" applyFont="1" applyFill="1" applyBorder="1" applyProtection="1">
      <protection hidden="1"/>
    </xf>
    <xf numFmtId="0" fontId="8" fillId="2" borderId="10" xfId="0" applyFont="1" applyFill="1" applyBorder="1" applyProtection="1">
      <protection hidden="1"/>
    </xf>
    <xf numFmtId="173" fontId="2" fillId="2" borderId="0" xfId="0" applyNumberFormat="1" applyFont="1" applyFill="1" applyBorder="1" applyProtection="1">
      <protection hidden="1"/>
    </xf>
    <xf numFmtId="1" fontId="2" fillId="2" borderId="0" xfId="0" applyNumberFormat="1" applyFont="1" applyFill="1" applyBorder="1" applyProtection="1">
      <protection hidden="1"/>
    </xf>
    <xf numFmtId="2" fontId="51" fillId="2" borderId="0" xfId="0" applyNumberFormat="1" applyFont="1" applyFill="1" applyBorder="1" applyAlignment="1" applyProtection="1">
      <alignment horizontal="right"/>
      <protection hidden="1"/>
    </xf>
    <xf numFmtId="0" fontId="2" fillId="2" borderId="9" xfId="0" applyFont="1" applyFill="1" applyBorder="1" applyProtection="1">
      <protection hidden="1"/>
    </xf>
    <xf numFmtId="44" fontId="51" fillId="2" borderId="0" xfId="0" applyNumberFormat="1" applyFont="1" applyFill="1" applyBorder="1" applyProtection="1">
      <protection hidden="1"/>
    </xf>
    <xf numFmtId="44" fontId="51" fillId="2" borderId="10" xfId="0" applyNumberFormat="1" applyFont="1" applyFill="1" applyBorder="1" applyProtection="1">
      <protection hidden="1"/>
    </xf>
    <xf numFmtId="0" fontId="0" fillId="3" borderId="0" xfId="0" applyFill="1" applyAlignment="1" applyProtection="1">
      <alignment horizontal="center"/>
      <protection hidden="1"/>
    </xf>
    <xf numFmtId="0" fontId="25" fillId="2" borderId="0" xfId="0" applyFont="1" applyFill="1" applyBorder="1" applyAlignment="1" applyProtection="1">
      <alignment horizontal="right"/>
      <protection hidden="1"/>
    </xf>
    <xf numFmtId="173" fontId="3" fillId="2" borderId="2" xfId="0" applyNumberFormat="1" applyFont="1" applyFill="1" applyBorder="1" applyProtection="1">
      <protection hidden="1"/>
    </xf>
    <xf numFmtId="0" fontId="5" fillId="3" borderId="0" xfId="0" applyFont="1" applyFill="1" applyBorder="1" applyProtection="1">
      <protection hidden="1"/>
    </xf>
    <xf numFmtId="0" fontId="53" fillId="2" borderId="16" xfId="0" applyFont="1" applyFill="1" applyBorder="1" applyProtection="1">
      <protection hidden="1"/>
    </xf>
    <xf numFmtId="0" fontId="37" fillId="2" borderId="17" xfId="0" applyFont="1" applyFill="1" applyBorder="1" applyProtection="1">
      <protection hidden="1"/>
    </xf>
    <xf numFmtId="0" fontId="52" fillId="2" borderId="17" xfId="0" applyFont="1" applyFill="1" applyBorder="1" applyProtection="1">
      <protection hidden="1"/>
    </xf>
    <xf numFmtId="0" fontId="52" fillId="0" borderId="18" xfId="0" applyFont="1" applyBorder="1" applyProtection="1">
      <protection hidden="1"/>
    </xf>
    <xf numFmtId="0" fontId="10" fillId="3" borderId="0" xfId="0" applyFont="1" applyFill="1" applyBorder="1" applyProtection="1">
      <protection hidden="1"/>
    </xf>
    <xf numFmtId="1" fontId="9" fillId="0" borderId="14" xfId="0" applyNumberFormat="1" applyFont="1" applyBorder="1" applyAlignment="1" applyProtection="1">
      <alignment horizontal="left"/>
      <protection hidden="1"/>
    </xf>
    <xf numFmtId="0" fontId="9" fillId="0" borderId="14" xfId="0" applyFont="1" applyBorder="1" applyAlignment="1" applyProtection="1">
      <protection hidden="1"/>
    </xf>
    <xf numFmtId="1" fontId="9" fillId="0" borderId="19" xfId="0" applyNumberFormat="1" applyFont="1" applyBorder="1" applyAlignment="1" applyProtection="1">
      <protection hidden="1"/>
    </xf>
    <xf numFmtId="0" fontId="2" fillId="0" borderId="14" xfId="0" applyFont="1" applyBorder="1" applyProtection="1">
      <protection hidden="1"/>
    </xf>
    <xf numFmtId="0" fontId="21" fillId="6" borderId="20" xfId="0" applyFont="1" applyFill="1" applyBorder="1" applyAlignment="1" applyProtection="1">
      <protection hidden="1"/>
    </xf>
    <xf numFmtId="0" fontId="22" fillId="6" borderId="21" xfId="0" applyFont="1" applyFill="1" applyBorder="1" applyProtection="1">
      <protection hidden="1"/>
    </xf>
    <xf numFmtId="0" fontId="52" fillId="3" borderId="0" xfId="0" applyFont="1" applyFill="1" applyBorder="1" applyProtection="1">
      <protection hidden="1"/>
    </xf>
    <xf numFmtId="0" fontId="0" fillId="0" borderId="0" xfId="0" applyProtection="1"/>
    <xf numFmtId="0" fontId="6" fillId="0" borderId="2" xfId="0" applyFont="1" applyBorder="1" applyAlignment="1">
      <alignment horizontal="left"/>
    </xf>
    <xf numFmtId="0" fontId="6" fillId="7" borderId="2" xfId="0" applyFont="1" applyFill="1" applyBorder="1" applyAlignment="1" applyProtection="1">
      <alignment horizontal="left"/>
      <protection locked="0"/>
    </xf>
    <xf numFmtId="0" fontId="26" fillId="0" borderId="22" xfId="0" applyFont="1" applyBorder="1" applyAlignment="1" applyProtection="1">
      <alignment horizontal="center"/>
      <protection hidden="1"/>
    </xf>
    <xf numFmtId="2" fontId="57" fillId="2" borderId="0" xfId="0" applyNumberFormat="1" applyFont="1" applyFill="1" applyBorder="1" applyProtection="1">
      <protection hidden="1"/>
    </xf>
    <xf numFmtId="1" fontId="9" fillId="0" borderId="9" xfId="0" applyNumberFormat="1" applyFont="1" applyBorder="1" applyAlignment="1" applyProtection="1">
      <protection hidden="1"/>
    </xf>
    <xf numFmtId="1" fontId="9" fillId="0" borderId="9" xfId="0" applyNumberFormat="1" applyFont="1" applyBorder="1" applyAlignment="1" applyProtection="1">
      <alignment horizontal="left"/>
      <protection hidden="1"/>
    </xf>
    <xf numFmtId="1" fontId="21" fillId="6" borderId="11" xfId="0" applyNumberFormat="1" applyFont="1" applyFill="1" applyBorder="1" applyAlignment="1" applyProtection="1">
      <alignment horizontal="left"/>
      <protection hidden="1"/>
    </xf>
    <xf numFmtId="0" fontId="22" fillId="6" borderId="7" xfId="0" applyFont="1" applyFill="1" applyBorder="1" applyProtection="1">
      <protection hidden="1"/>
    </xf>
    <xf numFmtId="0" fontId="9" fillId="0" borderId="20" xfId="0" applyFont="1" applyBorder="1" applyAlignment="1" applyProtection="1">
      <alignment horizontal="left"/>
      <protection hidden="1"/>
    </xf>
    <xf numFmtId="0" fontId="9" fillId="0" borderId="21" xfId="0" applyFont="1" applyBorder="1" applyAlignment="1" applyProtection="1">
      <alignment horizontal="left"/>
      <protection hidden="1"/>
    </xf>
    <xf numFmtId="0" fontId="50" fillId="2" borderId="6" xfId="0" applyFont="1" applyFill="1" applyBorder="1" applyProtection="1">
      <protection hidden="1"/>
    </xf>
    <xf numFmtId="0" fontId="0" fillId="6" borderId="0" xfId="0" applyFill="1" applyProtection="1"/>
    <xf numFmtId="0" fontId="0" fillId="3" borderId="0" xfId="0" applyFill="1" applyProtection="1"/>
    <xf numFmtId="0" fontId="47" fillId="4" borderId="0" xfId="0" applyFont="1" applyFill="1" applyAlignment="1" applyProtection="1">
      <alignment horizontal="center"/>
    </xf>
    <xf numFmtId="0" fontId="50" fillId="4" borderId="0" xfId="0" applyFont="1" applyFill="1" applyProtection="1"/>
    <xf numFmtId="0" fontId="8" fillId="0" borderId="2" xfId="0" applyFont="1" applyBorder="1" applyProtection="1">
      <protection hidden="1"/>
    </xf>
    <xf numFmtId="0" fontId="8" fillId="0" borderId="2" xfId="0" applyFont="1" applyBorder="1" applyAlignment="1" applyProtection="1">
      <alignment horizontal="left"/>
      <protection hidden="1"/>
    </xf>
    <xf numFmtId="1" fontId="9" fillId="0" borderId="11" xfId="0" applyNumberFormat="1" applyFont="1" applyBorder="1" applyAlignment="1" applyProtection="1">
      <alignment horizontal="left"/>
      <protection hidden="1"/>
    </xf>
    <xf numFmtId="1" fontId="9" fillId="0" borderId="16" xfId="0" applyNumberFormat="1" applyFont="1" applyBorder="1" applyAlignment="1" applyProtection="1">
      <alignment horizontal="left"/>
      <protection hidden="1"/>
    </xf>
    <xf numFmtId="0" fontId="52" fillId="2" borderId="18" xfId="0" applyFont="1" applyFill="1" applyBorder="1" applyProtection="1">
      <protection hidden="1"/>
    </xf>
    <xf numFmtId="1" fontId="61" fillId="8" borderId="0" xfId="0" applyNumberFormat="1" applyFont="1" applyFill="1" applyBorder="1" applyAlignment="1" applyProtection="1">
      <protection hidden="1"/>
    </xf>
    <xf numFmtId="0" fontId="0" fillId="4" borderId="0" xfId="0" applyFill="1" applyProtection="1"/>
    <xf numFmtId="1" fontId="48" fillId="8" borderId="0" xfId="0" applyNumberFormat="1" applyFont="1" applyFill="1" applyBorder="1" applyAlignment="1" applyProtection="1">
      <protection hidden="1"/>
    </xf>
    <xf numFmtId="0" fontId="0" fillId="0" borderId="15" xfId="0" applyBorder="1" applyProtection="1"/>
    <xf numFmtId="0" fontId="5" fillId="0" borderId="23" xfId="0" applyFont="1" applyBorder="1" applyProtection="1"/>
    <xf numFmtId="0" fontId="5" fillId="0" borderId="22" xfId="0" applyFont="1" applyBorder="1" applyProtection="1"/>
    <xf numFmtId="0" fontId="5" fillId="0" borderId="24" xfId="0" applyFont="1" applyFill="1" applyBorder="1" applyProtection="1"/>
    <xf numFmtId="0" fontId="43" fillId="7" borderId="4" xfId="0" applyFont="1" applyFill="1" applyBorder="1" applyProtection="1">
      <protection locked="0"/>
    </xf>
    <xf numFmtId="0" fontId="43" fillId="2" borderId="2" xfId="0" applyFont="1" applyFill="1" applyBorder="1" applyProtection="1"/>
    <xf numFmtId="0" fontId="55" fillId="3" borderId="0" xfId="0" applyFont="1" applyFill="1" applyProtection="1"/>
    <xf numFmtId="0" fontId="1" fillId="3" borderId="0" xfId="0" applyFont="1" applyFill="1" applyProtection="1"/>
    <xf numFmtId="0" fontId="2" fillId="2" borderId="11" xfId="0" applyFont="1" applyFill="1" applyBorder="1" applyProtection="1">
      <protection hidden="1"/>
    </xf>
    <xf numFmtId="0" fontId="2" fillId="2" borderId="7" xfId="0" applyFont="1" applyFill="1" applyBorder="1" applyProtection="1">
      <protection hidden="1"/>
    </xf>
    <xf numFmtId="1" fontId="2" fillId="2" borderId="7" xfId="0" applyNumberFormat="1" applyFont="1" applyFill="1" applyBorder="1" applyProtection="1">
      <protection hidden="1"/>
    </xf>
    <xf numFmtId="0" fontId="62" fillId="3" borderId="0" xfId="0" applyFont="1" applyFill="1" applyProtection="1"/>
    <xf numFmtId="0" fontId="48" fillId="4" borderId="25" xfId="0" applyFont="1" applyFill="1" applyBorder="1" applyAlignment="1" applyProtection="1">
      <protection hidden="1"/>
    </xf>
    <xf numFmtId="0" fontId="48" fillId="4" borderId="26" xfId="0" applyFont="1" applyFill="1" applyBorder="1" applyAlignment="1" applyProtection="1">
      <protection hidden="1"/>
    </xf>
    <xf numFmtId="0" fontId="48" fillId="4" borderId="27" xfId="0" applyFont="1" applyFill="1" applyBorder="1" applyAlignment="1" applyProtection="1">
      <protection hidden="1"/>
    </xf>
    <xf numFmtId="0" fontId="2" fillId="4" borderId="0" xfId="0" applyFont="1" applyFill="1" applyBorder="1" applyProtection="1">
      <protection hidden="1"/>
    </xf>
    <xf numFmtId="0" fontId="51" fillId="2" borderId="2" xfId="0" applyFont="1" applyFill="1" applyBorder="1" applyProtection="1">
      <protection hidden="1"/>
    </xf>
    <xf numFmtId="0" fontId="3" fillId="2" borderId="2" xfId="0" applyFont="1" applyFill="1" applyBorder="1" applyProtection="1">
      <protection hidden="1"/>
    </xf>
    <xf numFmtId="0" fontId="25" fillId="2" borderId="2" xfId="0" applyFont="1" applyFill="1" applyBorder="1" applyProtection="1">
      <protection hidden="1"/>
    </xf>
    <xf numFmtId="0" fontId="1" fillId="3" borderId="0" xfId="0" applyFont="1" applyFill="1" applyBorder="1" applyProtection="1">
      <protection hidden="1"/>
    </xf>
    <xf numFmtId="1" fontId="26" fillId="3" borderId="0" xfId="0" applyNumberFormat="1" applyFont="1" applyFill="1" applyBorder="1" applyAlignment="1" applyProtection="1">
      <alignment horizontal="right"/>
      <protection hidden="1"/>
    </xf>
    <xf numFmtId="0" fontId="35" fillId="3" borderId="0" xfId="0" applyFont="1" applyFill="1" applyProtection="1">
      <protection hidden="1"/>
    </xf>
    <xf numFmtId="0" fontId="29" fillId="4" borderId="6" xfId="0" applyFont="1" applyFill="1" applyBorder="1" applyAlignment="1" applyProtection="1">
      <protection hidden="1"/>
    </xf>
    <xf numFmtId="0" fontId="29" fillId="4" borderId="5" xfId="0" applyFont="1" applyFill="1" applyBorder="1" applyAlignment="1" applyProtection="1">
      <protection hidden="1"/>
    </xf>
    <xf numFmtId="1" fontId="29" fillId="4" borderId="15" xfId="0" applyNumberFormat="1" applyFont="1" applyFill="1" applyBorder="1" applyAlignment="1" applyProtection="1">
      <alignment horizontal="center"/>
      <protection hidden="1"/>
    </xf>
    <xf numFmtId="1" fontId="9" fillId="0" borderId="28" xfId="0" applyNumberFormat="1" applyFont="1" applyBorder="1" applyAlignment="1" applyProtection="1">
      <alignment horizontal="left"/>
      <protection hidden="1"/>
    </xf>
    <xf numFmtId="0" fontId="2" fillId="0" borderId="28" xfId="0" applyFont="1" applyBorder="1" applyProtection="1">
      <protection hidden="1"/>
    </xf>
    <xf numFmtId="0" fontId="2" fillId="0" borderId="21" xfId="0" applyFont="1" applyBorder="1" applyProtection="1">
      <protection hidden="1"/>
    </xf>
    <xf numFmtId="2" fontId="2" fillId="0" borderId="0" xfId="0" applyNumberFormat="1" applyFont="1" applyProtection="1">
      <protection hidden="1"/>
    </xf>
    <xf numFmtId="44" fontId="21" fillId="4" borderId="0" xfId="2" applyFont="1" applyFill="1" applyBorder="1" applyAlignment="1" applyProtection="1">
      <alignment horizontal="left"/>
      <protection hidden="1"/>
    </xf>
    <xf numFmtId="0" fontId="63" fillId="5" borderId="0" xfId="0" applyFont="1" applyFill="1" applyBorder="1" applyAlignment="1" applyProtection="1">
      <protection hidden="1"/>
    </xf>
    <xf numFmtId="205" fontId="21" fillId="4" borderId="0" xfId="2" applyNumberFormat="1" applyFont="1" applyFill="1" applyBorder="1" applyAlignment="1" applyProtection="1">
      <alignment horizontal="center"/>
      <protection hidden="1"/>
    </xf>
    <xf numFmtId="0" fontId="53" fillId="2" borderId="29" xfId="0" applyFont="1" applyFill="1" applyBorder="1" applyAlignment="1" applyProtection="1">
      <alignment horizontal="center"/>
      <protection hidden="1"/>
    </xf>
    <xf numFmtId="0" fontId="26" fillId="9" borderId="30" xfId="0" applyFont="1" applyFill="1" applyBorder="1" applyAlignment="1" applyProtection="1">
      <alignment horizontal="center"/>
      <protection hidden="1"/>
    </xf>
    <xf numFmtId="0" fontId="3" fillId="2" borderId="2" xfId="0" applyFont="1" applyFill="1" applyBorder="1" applyAlignment="1" applyProtection="1">
      <alignment horizontal="left"/>
      <protection hidden="1"/>
    </xf>
    <xf numFmtId="0" fontId="3" fillId="7" borderId="2" xfId="0" applyFont="1" applyFill="1" applyBorder="1" applyAlignment="1" applyProtection="1">
      <alignment horizontal="right"/>
      <protection hidden="1"/>
    </xf>
    <xf numFmtId="0" fontId="3" fillId="2" borderId="2" xfId="0" applyFont="1" applyFill="1" applyBorder="1" applyAlignment="1" applyProtection="1">
      <alignment horizontal="right"/>
      <protection hidden="1"/>
    </xf>
    <xf numFmtId="0" fontId="51" fillId="2" borderId="2" xfId="0" applyFont="1" applyFill="1" applyBorder="1" applyAlignment="1" applyProtection="1">
      <alignment horizontal="right"/>
      <protection hidden="1"/>
    </xf>
    <xf numFmtId="0" fontId="6" fillId="2" borderId="2" xfId="0" applyFont="1" applyFill="1" applyBorder="1" applyAlignment="1" applyProtection="1">
      <alignment horizontal="center"/>
      <protection hidden="1"/>
    </xf>
    <xf numFmtId="0" fontId="3" fillId="2" borderId="2" xfId="0" applyFont="1" applyFill="1" applyBorder="1" applyAlignment="1" applyProtection="1">
      <alignment horizontal="center"/>
      <protection hidden="1"/>
    </xf>
    <xf numFmtId="2" fontId="3" fillId="2" borderId="2" xfId="0" applyNumberFormat="1" applyFont="1" applyFill="1" applyBorder="1" applyAlignment="1" applyProtection="1">
      <alignment horizontal="right"/>
      <protection hidden="1"/>
    </xf>
    <xf numFmtId="2" fontId="3" fillId="2" borderId="2" xfId="0" applyNumberFormat="1" applyFont="1" applyFill="1" applyBorder="1" applyAlignment="1" applyProtection="1">
      <alignment horizontal="center"/>
      <protection hidden="1"/>
    </xf>
    <xf numFmtId="1" fontId="3" fillId="2" borderId="2" xfId="0" applyNumberFormat="1" applyFont="1" applyFill="1" applyBorder="1" applyAlignment="1" applyProtection="1">
      <alignment horizontal="right"/>
      <protection hidden="1"/>
    </xf>
    <xf numFmtId="0" fontId="46" fillId="8" borderId="2" xfId="0" applyFont="1" applyFill="1" applyBorder="1" applyAlignment="1" applyProtection="1">
      <alignment horizontal="center"/>
      <protection hidden="1"/>
    </xf>
    <xf numFmtId="0" fontId="51" fillId="8" borderId="2" xfId="0" applyFont="1" applyFill="1" applyBorder="1" applyAlignment="1" applyProtection="1">
      <alignment horizontal="right"/>
      <protection hidden="1"/>
    </xf>
    <xf numFmtId="0" fontId="6" fillId="2" borderId="2" xfId="0" applyFont="1" applyFill="1" applyBorder="1" applyAlignment="1" applyProtection="1">
      <alignment horizontal="right"/>
      <protection hidden="1"/>
    </xf>
    <xf numFmtId="2" fontId="51" fillId="2" borderId="2" xfId="0" applyNumberFormat="1" applyFont="1" applyFill="1" applyBorder="1" applyProtection="1">
      <protection hidden="1"/>
    </xf>
    <xf numFmtId="0" fontId="6" fillId="2" borderId="2" xfId="0" applyFont="1" applyFill="1" applyBorder="1" applyProtection="1">
      <protection hidden="1"/>
    </xf>
    <xf numFmtId="0" fontId="51" fillId="0" borderId="2" xfId="0" applyFont="1" applyBorder="1"/>
    <xf numFmtId="2" fontId="57" fillId="2" borderId="2" xfId="0" applyNumberFormat="1" applyFont="1" applyFill="1" applyBorder="1" applyProtection="1">
      <protection hidden="1"/>
    </xf>
    <xf numFmtId="0" fontId="51" fillId="2" borderId="2" xfId="0" applyFont="1" applyFill="1" applyBorder="1" applyAlignment="1" applyProtection="1">
      <alignment horizontal="left"/>
      <protection hidden="1"/>
    </xf>
    <xf numFmtId="2" fontId="51" fillId="0" borderId="2" xfId="0" applyNumberFormat="1" applyFont="1" applyBorder="1"/>
    <xf numFmtId="0" fontId="51" fillId="2" borderId="31" xfId="0" applyFont="1" applyFill="1" applyBorder="1" applyAlignment="1" applyProtection="1">
      <alignment horizontal="right"/>
      <protection hidden="1"/>
    </xf>
    <xf numFmtId="1" fontId="3" fillId="2" borderId="31" xfId="0" applyNumberFormat="1" applyFont="1" applyFill="1" applyBorder="1" applyAlignment="1" applyProtection="1">
      <alignment horizontal="right"/>
      <protection hidden="1"/>
    </xf>
    <xf numFmtId="0" fontId="51" fillId="8" borderId="31" xfId="0" applyFont="1" applyFill="1" applyBorder="1" applyAlignment="1" applyProtection="1">
      <alignment horizontal="right"/>
      <protection hidden="1"/>
    </xf>
    <xf numFmtId="0" fontId="3" fillId="7" borderId="31" xfId="0" applyFont="1" applyFill="1" applyBorder="1" applyAlignment="1" applyProtection="1">
      <alignment horizontal="right"/>
      <protection hidden="1"/>
    </xf>
    <xf numFmtId="0" fontId="6" fillId="2" borderId="31" xfId="0" applyFont="1" applyFill="1" applyBorder="1" applyAlignment="1" applyProtection="1">
      <alignment horizontal="right"/>
      <protection hidden="1"/>
    </xf>
    <xf numFmtId="2" fontId="3" fillId="2" borderId="31" xfId="0" applyNumberFormat="1" applyFont="1" applyFill="1" applyBorder="1" applyAlignment="1" applyProtection="1">
      <alignment horizontal="right"/>
      <protection hidden="1"/>
    </xf>
    <xf numFmtId="2" fontId="51" fillId="2" borderId="31" xfId="0" applyNumberFormat="1" applyFont="1" applyFill="1" applyBorder="1" applyProtection="1">
      <protection hidden="1"/>
    </xf>
    <xf numFmtId="0" fontId="51" fillId="2" borderId="31" xfId="0" applyFont="1" applyFill="1" applyBorder="1" applyProtection="1">
      <protection hidden="1"/>
    </xf>
    <xf numFmtId="0" fontId="51" fillId="0" borderId="1" xfId="0" applyFont="1" applyBorder="1"/>
    <xf numFmtId="2" fontId="51" fillId="2" borderId="1" xfId="0" applyNumberFormat="1" applyFont="1" applyFill="1" applyBorder="1" applyProtection="1">
      <protection hidden="1"/>
    </xf>
    <xf numFmtId="2" fontId="3" fillId="2" borderId="1" xfId="0" applyNumberFormat="1" applyFont="1" applyFill="1" applyBorder="1" applyAlignment="1" applyProtection="1">
      <alignment horizontal="center"/>
      <protection hidden="1"/>
    </xf>
    <xf numFmtId="0" fontId="51" fillId="2" borderId="1" xfId="0" applyFont="1" applyFill="1" applyBorder="1" applyAlignment="1" applyProtection="1">
      <alignment horizontal="left"/>
      <protection hidden="1"/>
    </xf>
    <xf numFmtId="0" fontId="6" fillId="0" borderId="2" xfId="0" applyFont="1" applyBorder="1"/>
    <xf numFmtId="0" fontId="6" fillId="7" borderId="2" xfId="0" applyFont="1" applyFill="1" applyBorder="1" applyAlignment="1" applyProtection="1">
      <alignment horizontal="right"/>
      <protection hidden="1"/>
    </xf>
    <xf numFmtId="0" fontId="6" fillId="7" borderId="2" xfId="0" applyFont="1" applyFill="1" applyBorder="1" applyProtection="1">
      <protection hidden="1"/>
    </xf>
    <xf numFmtId="0" fontId="6" fillId="7" borderId="31" xfId="0" applyFont="1" applyFill="1" applyBorder="1" applyProtection="1">
      <protection hidden="1"/>
    </xf>
    <xf numFmtId="2" fontId="13" fillId="10" borderId="2" xfId="0" applyNumberFormat="1" applyFont="1" applyFill="1" applyBorder="1" applyAlignment="1" applyProtection="1">
      <alignment horizontal="center"/>
      <protection hidden="1"/>
    </xf>
    <xf numFmtId="2" fontId="51" fillId="10" borderId="2" xfId="0" applyNumberFormat="1" applyFont="1" applyFill="1" applyBorder="1" applyProtection="1">
      <protection hidden="1"/>
    </xf>
    <xf numFmtId="2" fontId="3" fillId="10" borderId="2" xfId="0" applyNumberFormat="1" applyFont="1" applyFill="1" applyBorder="1" applyAlignment="1" applyProtection="1">
      <alignment horizontal="right"/>
      <protection hidden="1"/>
    </xf>
    <xf numFmtId="2" fontId="3" fillId="10" borderId="31" xfId="0" applyNumberFormat="1" applyFont="1" applyFill="1" applyBorder="1" applyAlignment="1" applyProtection="1">
      <alignment horizontal="right"/>
      <protection hidden="1"/>
    </xf>
    <xf numFmtId="2" fontId="51" fillId="11" borderId="2" xfId="0" applyNumberFormat="1" applyFont="1" applyFill="1" applyBorder="1" applyProtection="1">
      <protection hidden="1"/>
    </xf>
    <xf numFmtId="2" fontId="3" fillId="11" borderId="2" xfId="0" applyNumberFormat="1" applyFont="1" applyFill="1" applyBorder="1" applyAlignment="1" applyProtection="1">
      <alignment horizontal="right"/>
      <protection hidden="1"/>
    </xf>
    <xf numFmtId="2" fontId="3" fillId="11" borderId="31" xfId="0" applyNumberFormat="1" applyFont="1" applyFill="1" applyBorder="1" applyAlignment="1" applyProtection="1">
      <alignment horizontal="right"/>
      <protection hidden="1"/>
    </xf>
    <xf numFmtId="0" fontId="0" fillId="3" borderId="2" xfId="0" applyFill="1" applyBorder="1" applyProtection="1">
      <protection hidden="1"/>
    </xf>
    <xf numFmtId="0" fontId="6" fillId="3" borderId="2" xfId="0" applyFont="1" applyFill="1" applyBorder="1" applyProtection="1">
      <protection hidden="1"/>
    </xf>
    <xf numFmtId="0" fontId="0" fillId="3" borderId="2" xfId="0" applyFill="1" applyBorder="1" applyAlignment="1" applyProtection="1">
      <alignment horizontal="center"/>
      <protection hidden="1"/>
    </xf>
    <xf numFmtId="1" fontId="26" fillId="3" borderId="2" xfId="0" applyNumberFormat="1" applyFont="1" applyFill="1" applyBorder="1" applyAlignment="1" applyProtection="1">
      <alignment horizontal="center"/>
      <protection hidden="1"/>
    </xf>
    <xf numFmtId="173" fontId="26" fillId="3" borderId="2" xfId="0" applyNumberFormat="1" applyFont="1" applyFill="1" applyBorder="1" applyAlignment="1" applyProtection="1">
      <alignment horizontal="center"/>
      <protection hidden="1"/>
    </xf>
    <xf numFmtId="1" fontId="9" fillId="0" borderId="7" xfId="0" applyNumberFormat="1" applyFont="1" applyBorder="1" applyAlignment="1" applyProtection="1">
      <alignment horizontal="center"/>
      <protection hidden="1"/>
    </xf>
    <xf numFmtId="2" fontId="10" fillId="0" borderId="20" xfId="0" applyNumberFormat="1" applyFont="1" applyFill="1" applyBorder="1" applyAlignment="1" applyProtection="1">
      <alignment horizontal="left"/>
      <protection hidden="1"/>
    </xf>
    <xf numFmtId="173" fontId="10" fillId="0" borderId="32" xfId="0" applyNumberFormat="1" applyFont="1" applyBorder="1" applyAlignment="1" applyProtection="1">
      <alignment horizontal="center"/>
      <protection hidden="1"/>
    </xf>
    <xf numFmtId="2" fontId="10" fillId="0" borderId="32" xfId="0" applyNumberFormat="1" applyFont="1" applyFill="1" applyBorder="1" applyAlignment="1" applyProtection="1">
      <alignment horizontal="center"/>
      <protection hidden="1"/>
    </xf>
    <xf numFmtId="1" fontId="9" fillId="0" borderId="19" xfId="0" applyNumberFormat="1" applyFont="1" applyBorder="1" applyAlignment="1" applyProtection="1">
      <alignment horizontal="center"/>
      <protection hidden="1"/>
    </xf>
    <xf numFmtId="173" fontId="9" fillId="0" borderId="19" xfId="0" applyNumberFormat="1" applyFont="1" applyBorder="1" applyAlignment="1" applyProtection="1">
      <alignment horizontal="center"/>
      <protection hidden="1"/>
    </xf>
    <xf numFmtId="1" fontId="9" fillId="0" borderId="21" xfId="0" applyNumberFormat="1" applyFont="1" applyBorder="1" applyAlignment="1" applyProtection="1">
      <alignment horizontal="center"/>
      <protection hidden="1"/>
    </xf>
    <xf numFmtId="1" fontId="9" fillId="0" borderId="33" xfId="0" applyNumberFormat="1" applyFont="1" applyBorder="1" applyAlignment="1" applyProtection="1">
      <alignment horizontal="center"/>
      <protection hidden="1"/>
    </xf>
    <xf numFmtId="2" fontId="9" fillId="0" borderId="0" xfId="0" applyNumberFormat="1" applyFont="1" applyBorder="1" applyAlignment="1" applyProtection="1">
      <alignment horizontal="center"/>
      <protection hidden="1"/>
    </xf>
    <xf numFmtId="2" fontId="9" fillId="0" borderId="10" xfId="0" applyNumberFormat="1" applyFont="1" applyBorder="1" applyAlignment="1" applyProtection="1">
      <alignment horizontal="center"/>
      <protection hidden="1"/>
    </xf>
    <xf numFmtId="173" fontId="9" fillId="0" borderId="0" xfId="0" applyNumberFormat="1" applyFont="1" applyBorder="1" applyAlignment="1" applyProtection="1">
      <alignment horizontal="center"/>
      <protection hidden="1"/>
    </xf>
    <xf numFmtId="0" fontId="9" fillId="0" borderId="0" xfId="0" applyFont="1" applyBorder="1" applyAlignment="1" applyProtection="1">
      <alignment horizontal="center"/>
      <protection hidden="1"/>
    </xf>
    <xf numFmtId="1" fontId="9" fillId="0" borderId="0" xfId="0" applyNumberFormat="1" applyFont="1" applyBorder="1" applyAlignment="1" applyProtection="1">
      <alignment horizontal="center"/>
      <protection hidden="1"/>
    </xf>
    <xf numFmtId="0" fontId="25" fillId="0" borderId="12" xfId="0" applyFont="1" applyBorder="1" applyAlignment="1" applyProtection="1">
      <alignment horizontal="center"/>
      <protection hidden="1"/>
    </xf>
    <xf numFmtId="173" fontId="26" fillId="7" borderId="2" xfId="0" applyNumberFormat="1" applyFont="1" applyFill="1" applyBorder="1" applyAlignment="1" applyProtection="1">
      <alignment horizontal="center"/>
      <protection locked="0" hidden="1"/>
    </xf>
    <xf numFmtId="0" fontId="26" fillId="9" borderId="2" xfId="0" applyFont="1" applyFill="1" applyBorder="1" applyAlignment="1" applyProtection="1">
      <alignment horizontal="center"/>
      <protection hidden="1"/>
    </xf>
    <xf numFmtId="173" fontId="26" fillId="7" borderId="34" xfId="0" applyNumberFormat="1" applyFont="1" applyFill="1" applyBorder="1" applyAlignment="1" applyProtection="1">
      <alignment horizontal="center"/>
      <protection locked="0" hidden="1"/>
    </xf>
    <xf numFmtId="0" fontId="26" fillId="9" borderId="34" xfId="0" applyFont="1" applyFill="1" applyBorder="1" applyAlignment="1" applyProtection="1">
      <alignment horizontal="center"/>
      <protection hidden="1"/>
    </xf>
    <xf numFmtId="0" fontId="26" fillId="9" borderId="22" xfId="0" applyFont="1" applyFill="1" applyBorder="1" applyAlignment="1" applyProtection="1">
      <alignment horizontal="center"/>
      <protection hidden="1"/>
    </xf>
    <xf numFmtId="173" fontId="26" fillId="7" borderId="30" xfId="0" applyNumberFormat="1" applyFont="1" applyFill="1" applyBorder="1" applyAlignment="1" applyProtection="1">
      <alignment horizontal="center"/>
      <protection locked="0" hidden="1"/>
    </xf>
    <xf numFmtId="173" fontId="26" fillId="7" borderId="35" xfId="0" applyNumberFormat="1" applyFont="1" applyFill="1" applyBorder="1" applyAlignment="1" applyProtection="1">
      <alignment horizontal="center"/>
      <protection locked="0" hidden="1"/>
    </xf>
    <xf numFmtId="173" fontId="31" fillId="12" borderId="36" xfId="0" applyNumberFormat="1" applyFont="1" applyFill="1" applyBorder="1" applyAlignment="1" applyProtection="1">
      <alignment horizontal="center"/>
      <protection hidden="1"/>
    </xf>
    <xf numFmtId="0" fontId="25" fillId="7" borderId="34" xfId="0" applyFont="1" applyFill="1" applyBorder="1" applyAlignment="1" applyProtection="1">
      <alignment horizontal="center"/>
      <protection locked="0" hidden="1"/>
    </xf>
    <xf numFmtId="1" fontId="31" fillId="9" borderId="37" xfId="0" applyNumberFormat="1" applyFont="1" applyFill="1" applyBorder="1" applyAlignment="1" applyProtection="1">
      <alignment horizontal="center"/>
      <protection hidden="1"/>
    </xf>
    <xf numFmtId="173" fontId="26" fillId="0" borderId="2" xfId="0" applyNumberFormat="1" applyFont="1" applyBorder="1" applyAlignment="1" applyProtection="1">
      <alignment horizontal="center"/>
      <protection hidden="1"/>
    </xf>
    <xf numFmtId="0" fontId="40" fillId="0" borderId="2" xfId="0" applyFont="1" applyBorder="1" applyAlignment="1" applyProtection="1">
      <alignment horizontal="center"/>
      <protection hidden="1"/>
    </xf>
    <xf numFmtId="1" fontId="40" fillId="0" borderId="2" xfId="0" applyNumberFormat="1" applyFont="1" applyBorder="1" applyAlignment="1" applyProtection="1">
      <alignment horizontal="center"/>
      <protection hidden="1"/>
    </xf>
    <xf numFmtId="0" fontId="6" fillId="7" borderId="2" xfId="0" applyFont="1" applyFill="1" applyBorder="1" applyAlignment="1" applyProtection="1">
      <alignment horizontal="center"/>
      <protection locked="0"/>
    </xf>
    <xf numFmtId="0" fontId="5" fillId="0" borderId="22" xfId="0" applyFont="1" applyBorder="1" applyAlignment="1" applyProtection="1">
      <alignment horizontal="center"/>
      <protection hidden="1"/>
    </xf>
    <xf numFmtId="0" fontId="5" fillId="0" borderId="2" xfId="0" applyFont="1" applyBorder="1" applyAlignment="1" applyProtection="1">
      <alignment horizontal="center"/>
      <protection hidden="1"/>
    </xf>
    <xf numFmtId="0" fontId="9" fillId="0" borderId="2" xfId="0" applyFont="1" applyBorder="1" applyAlignment="1" applyProtection="1">
      <alignment horizontal="center"/>
      <protection hidden="1"/>
    </xf>
    <xf numFmtId="1" fontId="26" fillId="0" borderId="2" xfId="0" applyNumberFormat="1" applyFont="1" applyBorder="1" applyAlignment="1" applyProtection="1">
      <alignment horizontal="center"/>
      <protection hidden="1"/>
    </xf>
    <xf numFmtId="0" fontId="0" fillId="0" borderId="2" xfId="0" applyBorder="1" applyAlignment="1" applyProtection="1">
      <alignment horizontal="center"/>
      <protection hidden="1"/>
    </xf>
    <xf numFmtId="173" fontId="3" fillId="2" borderId="2" xfId="0" applyNumberFormat="1" applyFont="1" applyFill="1" applyBorder="1" applyAlignment="1" applyProtection="1">
      <alignment horizontal="center"/>
      <protection hidden="1"/>
    </xf>
    <xf numFmtId="0" fontId="5" fillId="0" borderId="38" xfId="0" applyFont="1" applyBorder="1" applyAlignment="1" applyProtection="1"/>
    <xf numFmtId="0" fontId="5" fillId="0" borderId="39" xfId="0" applyFont="1" applyBorder="1" applyAlignment="1" applyProtection="1"/>
    <xf numFmtId="0" fontId="43" fillId="3" borderId="0" xfId="0" applyFont="1" applyFill="1" applyProtection="1"/>
    <xf numFmtId="0" fontId="43" fillId="0" borderId="2" xfId="0" applyFont="1" applyBorder="1" applyProtection="1">
      <protection hidden="1"/>
    </xf>
    <xf numFmtId="2" fontId="43" fillId="0" borderId="2" xfId="0" applyNumberFormat="1" applyFont="1" applyBorder="1" applyProtection="1">
      <protection hidden="1"/>
    </xf>
    <xf numFmtId="0" fontId="26" fillId="0" borderId="2" xfId="0" applyFont="1" applyBorder="1" applyProtection="1">
      <protection hidden="1"/>
    </xf>
    <xf numFmtId="2" fontId="26" fillId="0" borderId="2" xfId="0" applyNumberFormat="1" applyFont="1" applyBorder="1" applyProtection="1">
      <protection hidden="1"/>
    </xf>
    <xf numFmtId="0" fontId="67" fillId="2" borderId="2" xfId="0" applyFont="1" applyFill="1" applyBorder="1" applyProtection="1"/>
    <xf numFmtId="0" fontId="43" fillId="2" borderId="0" xfId="0" applyFont="1" applyFill="1" applyProtection="1"/>
    <xf numFmtId="0" fontId="43" fillId="2" borderId="2" xfId="0" applyFont="1" applyFill="1" applyBorder="1" applyAlignment="1" applyProtection="1">
      <alignment horizontal="center"/>
    </xf>
    <xf numFmtId="1" fontId="43" fillId="2" borderId="2" xfId="0" applyNumberFormat="1" applyFont="1" applyFill="1" applyBorder="1" applyAlignment="1" applyProtection="1">
      <alignment horizontal="center"/>
    </xf>
    <xf numFmtId="0" fontId="8" fillId="7" borderId="2" xfId="0" applyFont="1" applyFill="1" applyBorder="1" applyProtection="1">
      <protection locked="0" hidden="1"/>
    </xf>
    <xf numFmtId="0" fontId="8" fillId="0" borderId="2" xfId="0" applyFont="1" applyBorder="1" applyProtection="1"/>
    <xf numFmtId="0" fontId="8" fillId="2" borderId="2" xfId="0" applyFont="1" applyFill="1" applyBorder="1" applyProtection="1"/>
    <xf numFmtId="2" fontId="43" fillId="2" borderId="2" xfId="0" applyNumberFormat="1" applyFont="1" applyFill="1" applyBorder="1" applyProtection="1"/>
    <xf numFmtId="0" fontId="10" fillId="0" borderId="2" xfId="0" applyFont="1" applyBorder="1" applyProtection="1">
      <protection hidden="1"/>
    </xf>
    <xf numFmtId="0" fontId="5" fillId="0" borderId="2" xfId="0" applyFont="1" applyBorder="1" applyProtection="1">
      <protection hidden="1"/>
    </xf>
    <xf numFmtId="0" fontId="8" fillId="0" borderId="2" xfId="0" applyFont="1" applyBorder="1" applyAlignment="1" applyProtection="1">
      <alignment horizontal="center"/>
      <protection hidden="1"/>
    </xf>
    <xf numFmtId="0" fontId="5" fillId="0" borderId="0" xfId="0" applyFont="1" applyProtection="1">
      <protection hidden="1"/>
    </xf>
    <xf numFmtId="1" fontId="8" fillId="7" borderId="2" xfId="0" applyNumberFormat="1" applyFont="1" applyFill="1" applyBorder="1" applyProtection="1">
      <protection locked="0" hidden="1"/>
    </xf>
    <xf numFmtId="0" fontId="10" fillId="7" borderId="2" xfId="0" applyFont="1" applyFill="1" applyBorder="1" applyAlignment="1" applyProtection="1">
      <alignment horizontal="center"/>
      <protection locked="0" hidden="1"/>
    </xf>
    <xf numFmtId="1" fontId="10" fillId="7" borderId="1" xfId="0" applyNumberFormat="1" applyFont="1" applyFill="1" applyBorder="1" applyAlignment="1" applyProtection="1">
      <alignment horizontal="center"/>
      <protection locked="0" hidden="1"/>
    </xf>
    <xf numFmtId="0" fontId="5" fillId="3" borderId="0" xfId="0" applyFont="1" applyFill="1" applyProtection="1">
      <protection hidden="1"/>
    </xf>
    <xf numFmtId="0" fontId="10" fillId="3" borderId="0" xfId="0" applyFont="1" applyFill="1" applyProtection="1">
      <protection hidden="1"/>
    </xf>
    <xf numFmtId="0" fontId="5" fillId="3" borderId="0" xfId="0" applyFont="1" applyFill="1" applyAlignment="1" applyProtection="1">
      <alignment horizontal="center"/>
      <protection hidden="1"/>
    </xf>
    <xf numFmtId="0" fontId="8" fillId="3" borderId="0" xfId="0" applyFont="1" applyFill="1" applyAlignment="1" applyProtection="1">
      <alignment horizontal="center"/>
      <protection hidden="1"/>
    </xf>
    <xf numFmtId="2" fontId="9" fillId="0" borderId="2" xfId="0" applyNumberFormat="1" applyFont="1" applyBorder="1" applyAlignment="1" applyProtection="1">
      <alignment horizontal="center"/>
      <protection hidden="1"/>
    </xf>
    <xf numFmtId="0" fontId="9" fillId="3" borderId="0" xfId="0" applyFont="1" applyFill="1" applyAlignment="1" applyProtection="1">
      <alignment horizontal="center"/>
      <protection hidden="1"/>
    </xf>
    <xf numFmtId="0" fontId="8" fillId="2" borderId="2" xfId="0" applyFont="1" applyFill="1" applyBorder="1" applyProtection="1">
      <protection hidden="1"/>
    </xf>
    <xf numFmtId="0" fontId="8" fillId="7" borderId="31" xfId="0" applyFont="1" applyFill="1" applyBorder="1" applyAlignment="1" applyProtection="1">
      <alignment horizontal="center"/>
      <protection locked="0" hidden="1"/>
    </xf>
    <xf numFmtId="0" fontId="8" fillId="7" borderId="40" xfId="0" applyFont="1" applyFill="1" applyBorder="1" applyAlignment="1" applyProtection="1">
      <alignment horizontal="center"/>
      <protection locked="0" hidden="1"/>
    </xf>
    <xf numFmtId="0" fontId="8" fillId="7" borderId="1" xfId="0" applyFont="1" applyFill="1" applyBorder="1" applyAlignment="1" applyProtection="1">
      <alignment horizontal="center"/>
      <protection locked="0" hidden="1"/>
    </xf>
    <xf numFmtId="0" fontId="8" fillId="7" borderId="31" xfId="0" applyFont="1" applyFill="1" applyBorder="1" applyAlignment="1" applyProtection="1">
      <protection locked="0" hidden="1"/>
    </xf>
    <xf numFmtId="0" fontId="8" fillId="7" borderId="40" xfId="0" applyFont="1" applyFill="1" applyBorder="1" applyAlignment="1" applyProtection="1">
      <protection locked="0" hidden="1"/>
    </xf>
    <xf numFmtId="0" fontId="8" fillId="7" borderId="1" xfId="0" applyFont="1" applyFill="1" applyBorder="1" applyAlignment="1" applyProtection="1">
      <protection locked="0" hidden="1"/>
    </xf>
    <xf numFmtId="14" fontId="8" fillId="7" borderId="31" xfId="0" applyNumberFormat="1" applyFont="1" applyFill="1" applyBorder="1" applyAlignment="1" applyProtection="1">
      <protection locked="0" hidden="1"/>
    </xf>
    <xf numFmtId="14" fontId="8" fillId="7" borderId="40" xfId="0" applyNumberFormat="1" applyFont="1" applyFill="1" applyBorder="1" applyAlignment="1" applyProtection="1">
      <protection locked="0" hidden="1"/>
    </xf>
    <xf numFmtId="14" fontId="8" fillId="7" borderId="1" xfId="0" applyNumberFormat="1" applyFont="1" applyFill="1" applyBorder="1" applyAlignment="1" applyProtection="1">
      <protection locked="0" hidden="1"/>
    </xf>
    <xf numFmtId="0" fontId="8" fillId="2" borderId="31" xfId="0" applyFont="1" applyFill="1" applyBorder="1" applyAlignment="1" applyProtection="1">
      <protection hidden="1"/>
    </xf>
    <xf numFmtId="0" fontId="8" fillId="2" borderId="40" xfId="0" applyFont="1" applyFill="1" applyBorder="1" applyAlignment="1" applyProtection="1">
      <protection hidden="1"/>
    </xf>
    <xf numFmtId="0" fontId="8" fillId="2" borderId="1" xfId="0" applyFont="1" applyFill="1" applyBorder="1" applyAlignment="1" applyProtection="1">
      <protection hidden="1"/>
    </xf>
    <xf numFmtId="0" fontId="8" fillId="2" borderId="2" xfId="0" applyFont="1" applyFill="1" applyBorder="1" applyAlignment="1" applyProtection="1">
      <alignment horizontal="center"/>
    </xf>
    <xf numFmtId="0" fontId="10" fillId="0" borderId="2" xfId="0" applyFont="1" applyBorder="1" applyAlignment="1" applyProtection="1">
      <alignment horizontal="left"/>
      <protection hidden="1"/>
    </xf>
    <xf numFmtId="0" fontId="5" fillId="0" borderId="40" xfId="0" applyFont="1" applyBorder="1" applyAlignment="1" applyProtection="1">
      <protection hidden="1"/>
    </xf>
    <xf numFmtId="173" fontId="2" fillId="0" borderId="0" xfId="0" applyNumberFormat="1" applyFont="1" applyProtection="1">
      <protection hidden="1"/>
    </xf>
    <xf numFmtId="1" fontId="51" fillId="2" borderId="2" xfId="0" applyNumberFormat="1" applyFont="1" applyFill="1" applyBorder="1" applyProtection="1">
      <protection hidden="1"/>
    </xf>
    <xf numFmtId="1" fontId="2" fillId="0" borderId="2" xfId="0" applyNumberFormat="1" applyFont="1" applyBorder="1" applyProtection="1">
      <protection hidden="1"/>
    </xf>
    <xf numFmtId="0" fontId="2" fillId="0" borderId="0" xfId="0" applyFont="1" applyAlignment="1" applyProtection="1">
      <protection hidden="1"/>
    </xf>
    <xf numFmtId="0" fontId="2" fillId="0" borderId="2" xfId="0" applyFont="1" applyBorder="1" applyAlignment="1" applyProtection="1">
      <alignment horizontal="center"/>
      <protection hidden="1"/>
    </xf>
    <xf numFmtId="1" fontId="9" fillId="0" borderId="9" xfId="0" applyNumberFormat="1" applyFont="1" applyFill="1" applyBorder="1" applyAlignment="1" applyProtection="1">
      <alignment horizontal="left"/>
      <protection hidden="1"/>
    </xf>
    <xf numFmtId="0" fontId="43" fillId="7" borderId="41" xfId="0" applyFont="1" applyFill="1" applyBorder="1" applyProtection="1">
      <protection locked="0"/>
    </xf>
    <xf numFmtId="2" fontId="10" fillId="0" borderId="42" xfId="0" applyNumberFormat="1" applyFont="1" applyBorder="1" applyProtection="1"/>
    <xf numFmtId="0" fontId="51" fillId="2" borderId="0" xfId="0" applyFont="1" applyFill="1" applyProtection="1"/>
    <xf numFmtId="0" fontId="71" fillId="2" borderId="0" xfId="0" applyFont="1" applyFill="1" applyAlignment="1" applyProtection="1">
      <alignment horizontal="center"/>
    </xf>
    <xf numFmtId="0" fontId="8" fillId="2" borderId="2" xfId="0" applyFont="1" applyFill="1" applyBorder="1" applyAlignment="1" applyProtection="1">
      <alignment horizontal="center"/>
      <protection hidden="1"/>
    </xf>
    <xf numFmtId="0" fontId="5" fillId="2" borderId="38" xfId="0" applyFont="1" applyFill="1" applyBorder="1" applyAlignment="1" applyProtection="1"/>
    <xf numFmtId="0" fontId="5" fillId="2" borderId="23" xfId="0" applyFont="1" applyFill="1" applyBorder="1" applyProtection="1"/>
    <xf numFmtId="0" fontId="5" fillId="2" borderId="22" xfId="0" applyFont="1" applyFill="1" applyBorder="1" applyProtection="1"/>
    <xf numFmtId="0" fontId="5" fillId="2" borderId="43" xfId="0" applyFont="1" applyFill="1" applyBorder="1" applyAlignment="1" applyProtection="1"/>
    <xf numFmtId="0" fontId="5" fillId="2" borderId="4" xfId="0" applyFont="1" applyFill="1" applyBorder="1" applyAlignment="1" applyProtection="1">
      <alignment horizontal="left"/>
      <protection hidden="1"/>
    </xf>
    <xf numFmtId="0" fontId="8" fillId="2" borderId="4" xfId="0" applyFont="1" applyFill="1" applyBorder="1" applyAlignment="1" applyProtection="1">
      <alignment horizontal="left"/>
      <protection hidden="1"/>
    </xf>
    <xf numFmtId="1" fontId="5" fillId="2" borderId="44" xfId="0" applyNumberFormat="1" applyFont="1" applyFill="1" applyBorder="1" applyProtection="1">
      <protection hidden="1"/>
    </xf>
    <xf numFmtId="0" fontId="8" fillId="2" borderId="45" xfId="0" applyFont="1" applyFill="1" applyBorder="1" applyAlignment="1" applyProtection="1">
      <alignment horizontal="left"/>
      <protection hidden="1"/>
    </xf>
    <xf numFmtId="0" fontId="8" fillId="2" borderId="34" xfId="0" applyFont="1" applyFill="1" applyBorder="1" applyAlignment="1" applyProtection="1">
      <alignment horizontal="center"/>
      <protection hidden="1"/>
    </xf>
    <xf numFmtId="0" fontId="5" fillId="2" borderId="0" xfId="0" applyFont="1" applyFill="1" applyBorder="1" applyAlignment="1" applyProtection="1"/>
    <xf numFmtId="0" fontId="8" fillId="2" borderId="4" xfId="0" applyFont="1" applyFill="1" applyBorder="1" applyProtection="1"/>
    <xf numFmtId="2" fontId="5" fillId="2" borderId="44" xfId="0" applyNumberFormat="1" applyFont="1" applyFill="1" applyBorder="1" applyProtection="1">
      <protection hidden="1"/>
    </xf>
    <xf numFmtId="0" fontId="8" fillId="2" borderId="45" xfId="0" applyFont="1" applyFill="1" applyBorder="1" applyProtection="1"/>
    <xf numFmtId="0" fontId="8" fillId="2" borderId="34" xfId="0" applyFont="1" applyFill="1" applyBorder="1" applyAlignment="1" applyProtection="1">
      <alignment horizontal="center"/>
    </xf>
    <xf numFmtId="0" fontId="5" fillId="2" borderId="44" xfId="0" applyFont="1" applyFill="1" applyBorder="1" applyProtection="1"/>
    <xf numFmtId="0" fontId="5" fillId="2" borderId="0" xfId="0" applyFont="1" applyFill="1" applyBorder="1" applyAlignment="1" applyProtection="1">
      <protection hidden="1"/>
    </xf>
    <xf numFmtId="0" fontId="8" fillId="2" borderId="0" xfId="0" applyFont="1" applyFill="1" applyBorder="1" applyAlignment="1" applyProtection="1">
      <alignment horizontal="center"/>
    </xf>
    <xf numFmtId="0" fontId="8" fillId="2" borderId="37" xfId="0" applyFont="1" applyFill="1" applyBorder="1" applyAlignment="1" applyProtection="1">
      <alignment horizontal="center"/>
      <protection hidden="1"/>
    </xf>
    <xf numFmtId="0" fontId="5" fillId="2" borderId="0" xfId="0" applyFont="1" applyFill="1" applyBorder="1" applyAlignment="1" applyProtection="1">
      <alignment horizontal="left"/>
    </xf>
    <xf numFmtId="0" fontId="8" fillId="0" borderId="2" xfId="0" applyFont="1" applyBorder="1" applyAlignment="1" applyProtection="1">
      <alignment horizontal="left"/>
    </xf>
    <xf numFmtId="0" fontId="43" fillId="0" borderId="0" xfId="0" applyFont="1" applyProtection="1"/>
    <xf numFmtId="0" fontId="43" fillId="0" borderId="2" xfId="0" applyFont="1" applyBorder="1" applyProtection="1"/>
    <xf numFmtId="2" fontId="43" fillId="0" borderId="2" xfId="0" applyNumberFormat="1" applyFont="1" applyBorder="1" applyProtection="1"/>
    <xf numFmtId="0" fontId="0" fillId="2" borderId="0" xfId="0" applyFill="1" applyProtection="1"/>
    <xf numFmtId="0" fontId="43" fillId="2" borderId="31" xfId="0" applyFont="1" applyFill="1" applyBorder="1" applyProtection="1"/>
    <xf numFmtId="2" fontId="43" fillId="2" borderId="31" xfId="0" applyNumberFormat="1" applyFont="1" applyFill="1" applyBorder="1" applyProtection="1"/>
    <xf numFmtId="0" fontId="26" fillId="0" borderId="0" xfId="0" applyFont="1" applyProtection="1"/>
    <xf numFmtId="0" fontId="26" fillId="0" borderId="2" xfId="0" applyFont="1" applyBorder="1" applyProtection="1"/>
    <xf numFmtId="2" fontId="26" fillId="0" borderId="2" xfId="0" applyNumberFormat="1" applyFont="1" applyBorder="1" applyProtection="1"/>
    <xf numFmtId="0" fontId="5" fillId="2" borderId="46" xfId="0" applyFont="1" applyFill="1" applyBorder="1" applyAlignment="1" applyProtection="1">
      <alignment horizontal="center"/>
      <protection hidden="1"/>
    </xf>
    <xf numFmtId="0" fontId="0" fillId="0" borderId="0" xfId="0" applyBorder="1" applyProtection="1"/>
    <xf numFmtId="0" fontId="8" fillId="2" borderId="4" xfId="0" applyFont="1" applyFill="1" applyBorder="1" applyAlignment="1" applyProtection="1">
      <alignment horizontal="left"/>
    </xf>
    <xf numFmtId="0" fontId="5" fillId="2" borderId="10" xfId="0" applyFont="1" applyFill="1" applyBorder="1" applyProtection="1">
      <protection hidden="1"/>
    </xf>
    <xf numFmtId="0" fontId="0" fillId="0" borderId="46" xfId="0" applyBorder="1" applyProtection="1"/>
    <xf numFmtId="2" fontId="5" fillId="2" borderId="44" xfId="0" applyNumberFormat="1" applyFont="1" applyFill="1" applyBorder="1" applyAlignment="1" applyProtection="1">
      <alignment horizontal="right"/>
      <protection hidden="1"/>
    </xf>
    <xf numFmtId="0" fontId="0" fillId="0" borderId="44" xfId="0" applyBorder="1" applyProtection="1"/>
    <xf numFmtId="0" fontId="5" fillId="2" borderId="44" xfId="0" applyFont="1" applyFill="1" applyBorder="1" applyProtection="1">
      <protection hidden="1"/>
    </xf>
    <xf numFmtId="0" fontId="5" fillId="2" borderId="10" xfId="0" applyFont="1" applyFill="1" applyBorder="1" applyAlignment="1" applyProtection="1">
      <alignment horizontal="right"/>
      <protection hidden="1"/>
    </xf>
    <xf numFmtId="1" fontId="5" fillId="2" borderId="44" xfId="0" applyNumberFormat="1" applyFont="1" applyFill="1" applyBorder="1" applyAlignment="1" applyProtection="1">
      <alignment horizontal="right"/>
      <protection hidden="1"/>
    </xf>
    <xf numFmtId="173" fontId="5" fillId="2" borderId="44" xfId="0" applyNumberFormat="1" applyFont="1" applyFill="1" applyBorder="1" applyAlignment="1" applyProtection="1">
      <alignment horizontal="right"/>
      <protection hidden="1"/>
    </xf>
    <xf numFmtId="0" fontId="0" fillId="0" borderId="47" xfId="0" applyBorder="1" applyProtection="1"/>
    <xf numFmtId="1" fontId="5" fillId="2" borderId="47" xfId="0" applyNumberFormat="1" applyFont="1" applyFill="1" applyBorder="1" applyAlignment="1" applyProtection="1">
      <alignment horizontal="right"/>
      <protection hidden="1"/>
    </xf>
    <xf numFmtId="0" fontId="8" fillId="2" borderId="44" xfId="0" applyFont="1" applyFill="1" applyBorder="1" applyProtection="1"/>
    <xf numFmtId="0" fontId="8" fillId="2" borderId="5" xfId="0" applyFont="1" applyFill="1" applyBorder="1" applyAlignment="1" applyProtection="1">
      <alignment horizontal="center"/>
    </xf>
    <xf numFmtId="0" fontId="8" fillId="2" borderId="6" xfId="0" applyFont="1" applyFill="1" applyBorder="1" applyAlignment="1" applyProtection="1">
      <alignment horizontal="center"/>
    </xf>
    <xf numFmtId="0" fontId="0" fillId="0" borderId="6" xfId="0" applyBorder="1" applyProtection="1"/>
    <xf numFmtId="0" fontId="8" fillId="2" borderId="9" xfId="0" applyFont="1" applyFill="1" applyBorder="1" applyAlignment="1" applyProtection="1">
      <alignment horizontal="center"/>
    </xf>
    <xf numFmtId="0" fontId="0" fillId="0" borderId="10" xfId="0" applyBorder="1" applyProtection="1"/>
    <xf numFmtId="0" fontId="0" fillId="0" borderId="9" xfId="0" applyBorder="1" applyProtection="1"/>
    <xf numFmtId="0" fontId="8" fillId="2" borderId="34" xfId="0" applyFont="1" applyFill="1" applyBorder="1" applyProtection="1"/>
    <xf numFmtId="0" fontId="8" fillId="2" borderId="47" xfId="0" applyFont="1" applyFill="1" applyBorder="1" applyProtection="1"/>
    <xf numFmtId="0" fontId="0" fillId="0" borderId="11" xfId="0" applyBorder="1" applyProtection="1"/>
    <xf numFmtId="0" fontId="0" fillId="0" borderId="7" xfId="0" applyBorder="1" applyProtection="1"/>
    <xf numFmtId="0" fontId="0" fillId="0" borderId="8" xfId="0" applyBorder="1" applyProtection="1"/>
    <xf numFmtId="0" fontId="2" fillId="2" borderId="17" xfId="0" applyFont="1" applyFill="1" applyBorder="1" applyProtection="1">
      <protection hidden="1"/>
    </xf>
    <xf numFmtId="44" fontId="3" fillId="2" borderId="18" xfId="2" applyFont="1" applyFill="1" applyBorder="1" applyAlignment="1" applyProtection="1">
      <alignment horizontal="left"/>
      <protection hidden="1"/>
    </xf>
    <xf numFmtId="0" fontId="10" fillId="2" borderId="16" xfId="0" applyFont="1" applyFill="1" applyBorder="1" applyAlignment="1" applyProtection="1">
      <protection hidden="1"/>
    </xf>
    <xf numFmtId="0" fontId="16" fillId="0" borderId="2" xfId="0" applyFont="1" applyBorder="1" applyAlignment="1" applyProtection="1">
      <alignment horizontal="left"/>
      <protection hidden="1"/>
    </xf>
    <xf numFmtId="0" fontId="15" fillId="0" borderId="2" xfId="0" applyFont="1" applyBorder="1" applyProtection="1">
      <protection hidden="1"/>
    </xf>
    <xf numFmtId="0" fontId="64" fillId="4" borderId="16" xfId="0" applyFont="1" applyFill="1" applyBorder="1" applyAlignment="1" applyProtection="1">
      <alignment horizontal="center"/>
      <protection hidden="1"/>
    </xf>
    <xf numFmtId="0" fontId="30" fillId="3" borderId="0" xfId="0" applyFont="1" applyFill="1" applyBorder="1" applyProtection="1">
      <protection hidden="1"/>
    </xf>
    <xf numFmtId="0" fontId="54" fillId="3" borderId="0" xfId="0" applyFont="1" applyFill="1" applyBorder="1" applyAlignment="1" applyProtection="1">
      <alignment horizontal="right"/>
      <protection locked="0" hidden="1"/>
    </xf>
    <xf numFmtId="0" fontId="75" fillId="3" borderId="0" xfId="0" applyFont="1" applyFill="1" applyProtection="1">
      <protection hidden="1"/>
    </xf>
    <xf numFmtId="0" fontId="26" fillId="0" borderId="2" xfId="0" applyFont="1" applyBorder="1" applyAlignment="1" applyProtection="1">
      <alignment horizontal="left"/>
      <protection hidden="1"/>
    </xf>
    <xf numFmtId="0" fontId="26" fillId="13" borderId="2" xfId="0" applyFont="1" applyFill="1" applyBorder="1" applyAlignment="1" applyProtection="1">
      <alignment horizontal="left"/>
      <protection locked="0" hidden="1"/>
    </xf>
    <xf numFmtId="0" fontId="26" fillId="13" borderId="34" xfId="0" applyFont="1" applyFill="1" applyBorder="1" applyAlignment="1" applyProtection="1">
      <alignment horizontal="left"/>
      <protection locked="0" hidden="1"/>
    </xf>
    <xf numFmtId="0" fontId="26" fillId="13" borderId="22" xfId="0" applyFont="1" applyFill="1" applyBorder="1" applyAlignment="1" applyProtection="1">
      <alignment horizontal="left"/>
      <protection locked="0" hidden="1"/>
    </xf>
    <xf numFmtId="0" fontId="6" fillId="13" borderId="2" xfId="0" applyFont="1" applyFill="1" applyBorder="1" applyAlignment="1" applyProtection="1">
      <alignment horizontal="left"/>
      <protection locked="0"/>
    </xf>
    <xf numFmtId="0" fontId="6" fillId="3" borderId="0" xfId="0" applyFont="1" applyFill="1" applyAlignment="1" applyProtection="1">
      <alignment horizontal="left"/>
    </xf>
    <xf numFmtId="0" fontId="56" fillId="3" borderId="0" xfId="0" applyFont="1" applyFill="1" applyAlignment="1" applyProtection="1">
      <alignment horizontal="left"/>
    </xf>
    <xf numFmtId="0" fontId="14" fillId="3" borderId="0" xfId="0" applyFont="1" applyFill="1" applyProtection="1"/>
    <xf numFmtId="0" fontId="10" fillId="2" borderId="2" xfId="0" applyFont="1" applyFill="1" applyBorder="1" applyAlignment="1" applyProtection="1">
      <alignment horizontal="left"/>
    </xf>
    <xf numFmtId="0" fontId="8" fillId="3" borderId="0" xfId="0" applyFont="1" applyFill="1" applyProtection="1"/>
    <xf numFmtId="0" fontId="8" fillId="0" borderId="0" xfId="0" applyFont="1" applyProtection="1"/>
    <xf numFmtId="0" fontId="6" fillId="0" borderId="2" xfId="0" applyFont="1" applyBorder="1" applyAlignment="1" applyProtection="1">
      <alignment horizontal="left"/>
    </xf>
    <xf numFmtId="0" fontId="6" fillId="3" borderId="0" xfId="0" applyFont="1" applyFill="1" applyBorder="1" applyAlignment="1" applyProtection="1">
      <alignment horizontal="left"/>
    </xf>
    <xf numFmtId="0" fontId="6" fillId="3" borderId="0" xfId="0" applyFont="1" applyFill="1" applyBorder="1" applyAlignment="1" applyProtection="1">
      <alignment horizontal="center"/>
    </xf>
    <xf numFmtId="0" fontId="10" fillId="0" borderId="2" xfId="0" applyFont="1" applyBorder="1" applyAlignment="1" applyProtection="1">
      <alignment horizontal="left"/>
    </xf>
    <xf numFmtId="0" fontId="5" fillId="3" borderId="0" xfId="0" applyFont="1" applyFill="1" applyBorder="1" applyAlignment="1" applyProtection="1">
      <alignment horizontal="left"/>
    </xf>
    <xf numFmtId="0" fontId="0" fillId="3" borderId="0" xfId="0" applyFill="1" applyAlignment="1" applyProtection="1">
      <alignment horizontal="center"/>
    </xf>
    <xf numFmtId="0" fontId="6" fillId="3" borderId="0" xfId="0" applyFont="1" applyFill="1" applyAlignment="1" applyProtection="1">
      <alignment horizontal="center"/>
    </xf>
    <xf numFmtId="0" fontId="5" fillId="3" borderId="0" xfId="0" applyFont="1" applyFill="1" applyAlignment="1" applyProtection="1">
      <alignment horizontal="left"/>
    </xf>
    <xf numFmtId="0" fontId="10" fillId="14" borderId="0" xfId="0" applyFont="1" applyFill="1" applyAlignment="1" applyProtection="1">
      <alignment horizontal="center"/>
    </xf>
    <xf numFmtId="0" fontId="0" fillId="14" borderId="0" xfId="0" applyFill="1" applyProtection="1"/>
    <xf numFmtId="0" fontId="21" fillId="14" borderId="0" xfId="0" applyFont="1" applyFill="1" applyProtection="1"/>
    <xf numFmtId="0" fontId="6" fillId="0" borderId="0" xfId="0" applyFont="1" applyAlignment="1" applyProtection="1">
      <alignment horizontal="left"/>
    </xf>
    <xf numFmtId="0" fontId="6" fillId="2" borderId="2" xfId="0" applyFont="1" applyFill="1" applyBorder="1" applyAlignment="1" applyProtection="1">
      <alignment horizontal="left"/>
    </xf>
    <xf numFmtId="0" fontId="0" fillId="2" borderId="2" xfId="0" applyFill="1" applyBorder="1" applyProtection="1"/>
    <xf numFmtId="0" fontId="3" fillId="2" borderId="2" xfId="0" applyFont="1" applyFill="1" applyBorder="1" applyAlignment="1" applyProtection="1">
      <alignment horizontal="left"/>
    </xf>
    <xf numFmtId="0" fontId="6" fillId="2" borderId="2" xfId="0" applyFont="1" applyFill="1" applyBorder="1" applyAlignment="1" applyProtection="1">
      <alignment horizontal="center"/>
    </xf>
    <xf numFmtId="0" fontId="3" fillId="2" borderId="2" xfId="0" applyFont="1" applyFill="1" applyBorder="1" applyAlignment="1" applyProtection="1">
      <alignment horizontal="center"/>
    </xf>
    <xf numFmtId="2" fontId="3" fillId="2" borderId="2" xfId="0" applyNumberFormat="1" applyFont="1" applyFill="1" applyBorder="1" applyAlignment="1" applyProtection="1">
      <alignment horizontal="center"/>
    </xf>
    <xf numFmtId="0" fontId="0" fillId="12" borderId="0" xfId="0" applyFill="1" applyProtection="1"/>
    <xf numFmtId="173" fontId="3" fillId="2" borderId="2" xfId="0" applyNumberFormat="1" applyFont="1" applyFill="1" applyBorder="1" applyAlignment="1" applyProtection="1">
      <alignment horizontal="center"/>
    </xf>
    <xf numFmtId="0" fontId="9" fillId="13" borderId="2" xfId="0" applyFont="1" applyFill="1" applyBorder="1" applyAlignment="1" applyProtection="1">
      <alignment horizontal="left"/>
      <protection locked="0"/>
    </xf>
    <xf numFmtId="0" fontId="0" fillId="0" borderId="0" xfId="0" applyAlignment="1">
      <alignment horizontal="center"/>
    </xf>
    <xf numFmtId="0" fontId="5" fillId="2" borderId="2" xfId="0" applyFont="1" applyFill="1" applyBorder="1" applyProtection="1">
      <protection hidden="1"/>
    </xf>
    <xf numFmtId="0" fontId="10" fillId="2" borderId="0" xfId="0" applyFont="1" applyFill="1" applyAlignment="1" applyProtection="1">
      <alignment horizontal="center"/>
    </xf>
    <xf numFmtId="2" fontId="6" fillId="2" borderId="2" xfId="0" applyNumberFormat="1" applyFont="1" applyFill="1" applyBorder="1" applyProtection="1">
      <protection hidden="1"/>
    </xf>
    <xf numFmtId="2" fontId="46" fillId="11" borderId="2" xfId="0" applyNumberFormat="1" applyFont="1" applyFill="1" applyBorder="1" applyAlignment="1" applyProtection="1">
      <alignment horizontal="center"/>
      <protection hidden="1"/>
    </xf>
    <xf numFmtId="0" fontId="66" fillId="0" borderId="3" xfId="0" applyFont="1" applyBorder="1" applyAlignment="1" applyProtection="1">
      <alignment horizontal="center"/>
      <protection hidden="1"/>
    </xf>
    <xf numFmtId="0" fontId="26" fillId="13" borderId="37" xfId="0" applyFont="1" applyFill="1" applyBorder="1" applyAlignment="1" applyProtection="1">
      <alignment horizontal="left"/>
      <protection locked="0" hidden="1"/>
    </xf>
    <xf numFmtId="173" fontId="26" fillId="7" borderId="37" xfId="0" applyNumberFormat="1" applyFont="1" applyFill="1" applyBorder="1" applyAlignment="1" applyProtection="1">
      <alignment horizontal="center"/>
      <protection locked="0" hidden="1"/>
    </xf>
    <xf numFmtId="0" fontId="26" fillId="9" borderId="37" xfId="0" applyFont="1" applyFill="1" applyBorder="1" applyAlignment="1" applyProtection="1">
      <alignment horizontal="center"/>
      <protection hidden="1"/>
    </xf>
    <xf numFmtId="0" fontId="26" fillId="9" borderId="46" xfId="0" applyFont="1" applyFill="1" applyBorder="1" applyAlignment="1" applyProtection="1">
      <alignment horizontal="center"/>
      <protection hidden="1"/>
    </xf>
    <xf numFmtId="0" fontId="66" fillId="0" borderId="4" xfId="0" applyFont="1" applyBorder="1" applyAlignment="1" applyProtection="1">
      <alignment horizontal="center"/>
      <protection hidden="1"/>
    </xf>
    <xf numFmtId="0" fontId="26" fillId="9" borderId="24" xfId="0" applyFont="1" applyFill="1" applyBorder="1" applyAlignment="1" applyProtection="1">
      <alignment horizontal="center"/>
      <protection hidden="1"/>
    </xf>
    <xf numFmtId="0" fontId="0" fillId="0" borderId="11" xfId="0" applyBorder="1" applyProtection="1">
      <protection hidden="1"/>
    </xf>
    <xf numFmtId="0" fontId="26" fillId="9" borderId="48" xfId="0" applyFont="1" applyFill="1" applyBorder="1" applyAlignment="1" applyProtection="1">
      <alignment horizontal="center"/>
      <protection hidden="1"/>
    </xf>
    <xf numFmtId="0" fontId="26" fillId="9" borderId="49" xfId="0" applyFont="1" applyFill="1" applyBorder="1" applyAlignment="1" applyProtection="1">
      <alignment horizontal="center"/>
      <protection hidden="1"/>
    </xf>
    <xf numFmtId="0" fontId="3" fillId="15" borderId="2" xfId="0" applyFont="1" applyFill="1" applyBorder="1" applyAlignment="1" applyProtection="1">
      <alignment horizontal="left"/>
    </xf>
    <xf numFmtId="173" fontId="9" fillId="0" borderId="10" xfId="0" applyNumberFormat="1" applyFont="1" applyBorder="1" applyAlignment="1" applyProtection="1">
      <alignment horizontal="center"/>
      <protection hidden="1"/>
    </xf>
    <xf numFmtId="1" fontId="43" fillId="2" borderId="2" xfId="0" applyNumberFormat="1" applyFont="1" applyFill="1" applyBorder="1" applyProtection="1"/>
    <xf numFmtId="1" fontId="9" fillId="0" borderId="8" xfId="0" applyNumberFormat="1" applyFont="1" applyBorder="1" applyAlignment="1" applyProtection="1">
      <alignment horizontal="center"/>
      <protection hidden="1"/>
    </xf>
    <xf numFmtId="0" fontId="25" fillId="0" borderId="30" xfId="0" applyFont="1" applyBorder="1" applyAlignment="1" applyProtection="1">
      <alignment horizontal="center"/>
      <protection hidden="1"/>
    </xf>
    <xf numFmtId="0" fontId="10" fillId="7" borderId="10" xfId="0" applyFont="1" applyFill="1" applyBorder="1" applyAlignment="1" applyProtection="1">
      <alignment horizontal="center"/>
      <protection locked="0" hidden="1"/>
    </xf>
    <xf numFmtId="2" fontId="10" fillId="9" borderId="2" xfId="0" applyNumberFormat="1" applyFont="1" applyFill="1" applyBorder="1" applyAlignment="1" applyProtection="1">
      <alignment horizontal="center"/>
      <protection locked="0" hidden="1"/>
    </xf>
    <xf numFmtId="1" fontId="10" fillId="7" borderId="2" xfId="0" applyNumberFormat="1" applyFont="1" applyFill="1" applyBorder="1" applyAlignment="1" applyProtection="1">
      <alignment horizontal="center"/>
      <protection locked="0" hidden="1"/>
    </xf>
    <xf numFmtId="2" fontId="10" fillId="7" borderId="2" xfId="0" applyNumberFormat="1" applyFont="1" applyFill="1" applyBorder="1" applyAlignment="1" applyProtection="1">
      <alignment horizontal="center"/>
      <protection locked="0" hidden="1"/>
    </xf>
    <xf numFmtId="1" fontId="10" fillId="9" borderId="2" xfId="0" applyNumberFormat="1" applyFont="1" applyFill="1" applyBorder="1" applyAlignment="1" applyProtection="1">
      <alignment horizontal="center"/>
      <protection locked="0" hidden="1"/>
    </xf>
    <xf numFmtId="173" fontId="10" fillId="7" borderId="2" xfId="0" applyNumberFormat="1" applyFont="1" applyFill="1" applyBorder="1" applyAlignment="1" applyProtection="1">
      <alignment horizontal="center"/>
      <protection locked="0" hidden="1"/>
    </xf>
    <xf numFmtId="0" fontId="10" fillId="7" borderId="1" xfId="0" applyFont="1" applyFill="1" applyBorder="1" applyAlignment="1" applyProtection="1">
      <alignment horizontal="center"/>
      <protection locked="0" hidden="1"/>
    </xf>
    <xf numFmtId="1" fontId="9" fillId="0" borderId="10" xfId="0" applyNumberFormat="1" applyFont="1" applyBorder="1" applyAlignment="1" applyProtection="1">
      <alignment horizontal="center"/>
      <protection hidden="1"/>
    </xf>
    <xf numFmtId="173" fontId="9" fillId="0" borderId="18" xfId="0" applyNumberFormat="1" applyFont="1" applyBorder="1" applyAlignment="1" applyProtection="1">
      <alignment horizontal="center"/>
      <protection hidden="1"/>
    </xf>
    <xf numFmtId="1" fontId="9" fillId="0" borderId="0" xfId="0" applyNumberFormat="1" applyFont="1" applyFill="1" applyBorder="1" applyAlignment="1" applyProtection="1">
      <alignment horizontal="center"/>
      <protection hidden="1"/>
    </xf>
    <xf numFmtId="1" fontId="9" fillId="0" borderId="17" xfId="0" applyNumberFormat="1" applyFont="1" applyBorder="1" applyAlignment="1" applyProtection="1">
      <alignment horizontal="center"/>
      <protection hidden="1"/>
    </xf>
    <xf numFmtId="0" fontId="43" fillId="7" borderId="2" xfId="0" applyFont="1" applyFill="1" applyBorder="1" applyAlignment="1" applyProtection="1">
      <alignment horizontal="center"/>
      <protection locked="0"/>
    </xf>
    <xf numFmtId="0" fontId="43" fillId="7" borderId="44" xfId="0" applyFont="1" applyFill="1" applyBorder="1" applyAlignment="1" applyProtection="1">
      <alignment horizontal="center"/>
      <protection locked="0"/>
    </xf>
    <xf numFmtId="0" fontId="43" fillId="7" borderId="30" xfId="0" applyFont="1" applyFill="1" applyBorder="1" applyAlignment="1" applyProtection="1">
      <alignment horizontal="center"/>
      <protection locked="0"/>
    </xf>
    <xf numFmtId="0" fontId="43" fillId="7" borderId="50" xfId="0" applyFont="1" applyFill="1" applyBorder="1" applyAlignment="1" applyProtection="1">
      <alignment horizontal="center"/>
      <protection locked="0"/>
    </xf>
    <xf numFmtId="2" fontId="61" fillId="8" borderId="0" xfId="0" applyNumberFormat="1" applyFont="1" applyFill="1" applyBorder="1" applyAlignment="1" applyProtection="1">
      <alignment horizontal="center"/>
      <protection hidden="1"/>
    </xf>
    <xf numFmtId="1" fontId="48" fillId="8" borderId="0" xfId="0" applyNumberFormat="1" applyFont="1" applyFill="1" applyBorder="1" applyAlignment="1" applyProtection="1">
      <alignment horizontal="center"/>
      <protection hidden="1"/>
    </xf>
    <xf numFmtId="1" fontId="10" fillId="0" borderId="51" xfId="0" applyNumberFormat="1" applyFont="1" applyBorder="1" applyAlignment="1" applyProtection="1">
      <alignment horizontal="center"/>
    </xf>
    <xf numFmtId="173" fontId="31" fillId="2" borderId="42" xfId="0" applyNumberFormat="1" applyFont="1" applyFill="1" applyBorder="1" applyAlignment="1" applyProtection="1">
      <alignment horizontal="center"/>
      <protection hidden="1"/>
    </xf>
    <xf numFmtId="1" fontId="10" fillId="0" borderId="52" xfId="0" applyNumberFormat="1" applyFont="1" applyBorder="1" applyAlignment="1" applyProtection="1">
      <alignment horizontal="center"/>
    </xf>
    <xf numFmtId="1" fontId="48" fillId="6" borderId="11" xfId="0" applyNumberFormat="1" applyFont="1" applyFill="1" applyBorder="1" applyAlignment="1" applyProtection="1">
      <alignment horizontal="left"/>
      <protection hidden="1"/>
    </xf>
    <xf numFmtId="1" fontId="48" fillId="6" borderId="7" xfId="0" applyNumberFormat="1" applyFont="1" applyFill="1" applyBorder="1" applyAlignment="1" applyProtection="1">
      <alignment horizontal="left"/>
      <protection hidden="1"/>
    </xf>
    <xf numFmtId="2" fontId="48" fillId="6" borderId="8" xfId="0" applyNumberFormat="1" applyFont="1" applyFill="1" applyBorder="1" applyAlignment="1" applyProtection="1">
      <alignment horizontal="center"/>
      <protection hidden="1"/>
    </xf>
    <xf numFmtId="0" fontId="5" fillId="0" borderId="38" xfId="0" applyFont="1" applyBorder="1" applyAlignment="1" applyProtection="1">
      <protection hidden="1"/>
    </xf>
    <xf numFmtId="0" fontId="5" fillId="0" borderId="39" xfId="0" applyFont="1" applyBorder="1" applyAlignment="1" applyProtection="1">
      <protection hidden="1"/>
    </xf>
    <xf numFmtId="0" fontId="5" fillId="0" borderId="53" xfId="0" applyFont="1" applyBorder="1" applyAlignment="1" applyProtection="1">
      <protection hidden="1"/>
    </xf>
    <xf numFmtId="0" fontId="8" fillId="0" borderId="4" xfId="0" applyFont="1" applyBorder="1" applyProtection="1">
      <protection hidden="1"/>
    </xf>
    <xf numFmtId="2" fontId="10" fillId="7" borderId="44" xfId="0" applyNumberFormat="1" applyFont="1" applyFill="1" applyBorder="1" applyAlignment="1" applyProtection="1">
      <alignment horizontal="center"/>
      <protection locked="0" hidden="1"/>
    </xf>
    <xf numFmtId="0" fontId="10" fillId="7" borderId="44" xfId="0" applyFont="1" applyFill="1" applyBorder="1" applyAlignment="1" applyProtection="1">
      <alignment horizontal="center"/>
      <protection locked="0" hidden="1"/>
    </xf>
    <xf numFmtId="0" fontId="8" fillId="7" borderId="4" xfId="0" applyFont="1" applyFill="1" applyBorder="1" applyProtection="1">
      <protection locked="0" hidden="1"/>
    </xf>
    <xf numFmtId="0" fontId="8" fillId="0" borderId="4" xfId="0" applyFont="1" applyBorder="1" applyProtection="1"/>
    <xf numFmtId="0" fontId="8" fillId="2" borderId="4" xfId="0" applyFont="1" applyFill="1" applyBorder="1" applyProtection="1">
      <protection hidden="1"/>
    </xf>
    <xf numFmtId="2" fontId="68" fillId="2" borderId="44" xfId="0" applyNumberFormat="1" applyFont="1" applyFill="1" applyBorder="1" applyAlignment="1" applyProtection="1">
      <alignment horizontal="center"/>
      <protection hidden="1"/>
    </xf>
    <xf numFmtId="173" fontId="10" fillId="7" borderId="44" xfId="0" applyNumberFormat="1" applyFont="1" applyFill="1" applyBorder="1" applyAlignment="1" applyProtection="1">
      <alignment horizontal="center"/>
      <protection locked="0" hidden="1"/>
    </xf>
    <xf numFmtId="0" fontId="5" fillId="0" borderId="54" xfId="0" applyFont="1" applyBorder="1" applyAlignment="1" applyProtection="1">
      <protection hidden="1"/>
    </xf>
    <xf numFmtId="0" fontId="5" fillId="0" borderId="55" xfId="0" applyFont="1" applyBorder="1" applyAlignment="1" applyProtection="1">
      <alignment horizontal="center"/>
      <protection hidden="1"/>
    </xf>
    <xf numFmtId="0" fontId="10" fillId="7" borderId="55" xfId="0" applyFont="1" applyFill="1" applyBorder="1" applyAlignment="1" applyProtection="1">
      <alignment horizontal="center"/>
      <protection locked="0" hidden="1"/>
    </xf>
    <xf numFmtId="1" fontId="9" fillId="2" borderId="55" xfId="0" applyNumberFormat="1" applyFont="1" applyFill="1" applyBorder="1" applyAlignment="1" applyProtection="1">
      <alignment horizontal="center"/>
      <protection hidden="1"/>
    </xf>
    <xf numFmtId="1" fontId="10" fillId="7" borderId="44" xfId="0" applyNumberFormat="1" applyFont="1" applyFill="1" applyBorder="1" applyAlignment="1" applyProtection="1">
      <alignment horizontal="center"/>
      <protection locked="0" hidden="1"/>
    </xf>
    <xf numFmtId="0" fontId="8" fillId="0" borderId="9" xfId="0" applyFont="1" applyFill="1" applyBorder="1" applyProtection="1">
      <protection hidden="1"/>
    </xf>
    <xf numFmtId="0" fontId="8" fillId="0" borderId="45" xfId="0" applyFont="1" applyBorder="1" applyProtection="1">
      <protection hidden="1"/>
    </xf>
    <xf numFmtId="0" fontId="8" fillId="0" borderId="34" xfId="0" applyFont="1" applyBorder="1" applyAlignment="1" applyProtection="1">
      <alignment horizontal="center"/>
      <protection hidden="1"/>
    </xf>
    <xf numFmtId="1" fontId="9" fillId="2" borderId="56" xfId="0" applyNumberFormat="1" applyFont="1" applyFill="1" applyBorder="1" applyAlignment="1" applyProtection="1">
      <alignment horizontal="center"/>
      <protection hidden="1"/>
    </xf>
    <xf numFmtId="0" fontId="9" fillId="0" borderId="3" xfId="0" applyFont="1" applyBorder="1" applyAlignment="1" applyProtection="1">
      <alignment horizontal="left"/>
    </xf>
    <xf numFmtId="0" fontId="49" fillId="0" borderId="57" xfId="0" applyFont="1" applyBorder="1" applyProtection="1">
      <protection locked="0" hidden="1"/>
    </xf>
    <xf numFmtId="0" fontId="9" fillId="7" borderId="46" xfId="0" applyFont="1" applyFill="1" applyBorder="1" applyAlignment="1" applyProtection="1">
      <alignment horizontal="center"/>
      <protection locked="0" hidden="1"/>
    </xf>
    <xf numFmtId="0" fontId="8" fillId="0" borderId="4" xfId="0" applyFont="1" applyBorder="1" applyAlignment="1" applyProtection="1">
      <alignment horizontal="left"/>
    </xf>
    <xf numFmtId="0" fontId="9" fillId="0" borderId="4" xfId="0" applyFont="1" applyBorder="1" applyAlignment="1" applyProtection="1">
      <alignment horizontal="left"/>
      <protection hidden="1"/>
    </xf>
    <xf numFmtId="2" fontId="10" fillId="9" borderId="44" xfId="0" applyNumberFormat="1" applyFont="1" applyFill="1" applyBorder="1" applyAlignment="1" applyProtection="1">
      <alignment horizontal="center"/>
      <protection locked="0" hidden="1"/>
    </xf>
    <xf numFmtId="0" fontId="8" fillId="0" borderId="4" xfId="0" applyFont="1" applyBorder="1" applyAlignment="1" applyProtection="1">
      <alignment horizontal="left"/>
      <protection hidden="1"/>
    </xf>
    <xf numFmtId="0" fontId="10" fillId="0" borderId="4" xfId="0" applyFont="1" applyBorder="1" applyAlignment="1" applyProtection="1">
      <alignment horizontal="left"/>
      <protection hidden="1"/>
    </xf>
    <xf numFmtId="1" fontId="10" fillId="9" borderId="44" xfId="0" applyNumberFormat="1" applyFont="1" applyFill="1" applyBorder="1" applyAlignment="1" applyProtection="1">
      <alignment horizontal="center"/>
      <protection locked="0" hidden="1"/>
    </xf>
    <xf numFmtId="1" fontId="68" fillId="0" borderId="44" xfId="0" applyNumberFormat="1" applyFont="1" applyBorder="1" applyAlignment="1" applyProtection="1">
      <alignment horizontal="center"/>
      <protection hidden="1"/>
    </xf>
    <xf numFmtId="0" fontId="8" fillId="0" borderId="45" xfId="0" applyFont="1" applyBorder="1" applyAlignment="1" applyProtection="1">
      <alignment horizontal="left"/>
      <protection hidden="1"/>
    </xf>
    <xf numFmtId="1" fontId="10" fillId="7" borderId="47" xfId="0" applyNumberFormat="1" applyFont="1" applyFill="1" applyBorder="1" applyAlignment="1" applyProtection="1">
      <alignment horizontal="center"/>
      <protection locked="0" hidden="1"/>
    </xf>
    <xf numFmtId="0" fontId="2" fillId="0" borderId="19" xfId="0" applyFont="1" applyBorder="1" applyAlignment="1" applyProtection="1">
      <alignment horizontal="center"/>
      <protection hidden="1"/>
    </xf>
    <xf numFmtId="2" fontId="9" fillId="0" borderId="19" xfId="0" applyNumberFormat="1" applyFont="1" applyBorder="1" applyAlignment="1" applyProtection="1">
      <alignment horizontal="center"/>
      <protection hidden="1"/>
    </xf>
    <xf numFmtId="2" fontId="21" fillId="6" borderId="32" xfId="0" applyNumberFormat="1" applyFont="1" applyFill="1" applyBorder="1" applyAlignment="1" applyProtection="1">
      <alignment horizontal="center"/>
      <protection hidden="1"/>
    </xf>
    <xf numFmtId="1" fontId="21" fillId="6" borderId="32" xfId="0" applyNumberFormat="1" applyFont="1" applyFill="1" applyBorder="1" applyAlignment="1" applyProtection="1">
      <alignment horizontal="center"/>
      <protection hidden="1"/>
    </xf>
    <xf numFmtId="2" fontId="9" fillId="0" borderId="32" xfId="0" applyNumberFormat="1" applyFont="1" applyBorder="1" applyAlignment="1" applyProtection="1">
      <alignment horizontal="center"/>
      <protection hidden="1"/>
    </xf>
    <xf numFmtId="2" fontId="9" fillId="0" borderId="58" xfId="0" applyNumberFormat="1" applyFont="1" applyBorder="1" applyAlignment="1" applyProtection="1">
      <alignment horizontal="center"/>
      <protection hidden="1"/>
    </xf>
    <xf numFmtId="2" fontId="21" fillId="6" borderId="49" xfId="0" applyNumberFormat="1" applyFont="1" applyFill="1" applyBorder="1" applyAlignment="1" applyProtection="1">
      <alignment horizontal="center"/>
      <protection hidden="1"/>
    </xf>
    <xf numFmtId="173" fontId="68" fillId="0" borderId="2" xfId="0" applyNumberFormat="1" applyFont="1" applyBorder="1" applyAlignment="1" applyProtection="1">
      <alignment horizontal="center"/>
      <protection hidden="1"/>
    </xf>
    <xf numFmtId="2" fontId="68" fillId="0" borderId="2" xfId="0" applyNumberFormat="1" applyFont="1" applyBorder="1" applyAlignment="1" applyProtection="1">
      <alignment horizontal="center"/>
      <protection hidden="1"/>
    </xf>
    <xf numFmtId="3" fontId="5" fillId="0" borderId="2" xfId="0" applyNumberFormat="1" applyFont="1" applyBorder="1" applyAlignment="1" applyProtection="1">
      <alignment horizontal="center"/>
      <protection hidden="1"/>
    </xf>
    <xf numFmtId="3" fontId="5" fillId="12" borderId="2" xfId="0" applyNumberFormat="1" applyFont="1" applyFill="1" applyBorder="1" applyAlignment="1" applyProtection="1">
      <alignment horizontal="center"/>
      <protection hidden="1"/>
    </xf>
    <xf numFmtId="3" fontId="5" fillId="12" borderId="31" xfId="0" applyNumberFormat="1" applyFont="1" applyFill="1" applyBorder="1" applyAlignment="1" applyProtection="1">
      <alignment horizontal="center"/>
      <protection hidden="1"/>
    </xf>
    <xf numFmtId="42" fontId="5" fillId="3" borderId="2" xfId="2" applyNumberFormat="1" applyFont="1" applyFill="1" applyBorder="1" applyAlignment="1" applyProtection="1">
      <alignment horizontal="center"/>
      <protection hidden="1"/>
    </xf>
    <xf numFmtId="204" fontId="5" fillId="3" borderId="2" xfId="2" applyNumberFormat="1" applyFont="1" applyFill="1" applyBorder="1" applyAlignment="1" applyProtection="1">
      <alignment horizontal="center"/>
      <protection hidden="1"/>
    </xf>
    <xf numFmtId="173" fontId="5" fillId="0" borderId="2" xfId="0" applyNumberFormat="1" applyFont="1" applyBorder="1" applyAlignment="1" applyProtection="1">
      <alignment horizontal="center"/>
      <protection hidden="1"/>
    </xf>
    <xf numFmtId="173" fontId="10" fillId="12" borderId="2" xfId="0" applyNumberFormat="1" applyFont="1" applyFill="1" applyBorder="1" applyAlignment="1" applyProtection="1">
      <alignment horizontal="center"/>
      <protection hidden="1"/>
    </xf>
    <xf numFmtId="173" fontId="9" fillId="0" borderId="2" xfId="0" applyNumberFormat="1" applyFont="1" applyBorder="1" applyAlignment="1" applyProtection="1">
      <alignment horizontal="center"/>
      <protection hidden="1"/>
    </xf>
    <xf numFmtId="1" fontId="10" fillId="0" borderId="2" xfId="0" applyNumberFormat="1" applyFont="1" applyBorder="1" applyAlignment="1" applyProtection="1">
      <alignment horizontal="center"/>
      <protection hidden="1"/>
    </xf>
    <xf numFmtId="0" fontId="5" fillId="2" borderId="2" xfId="0" applyFont="1" applyFill="1" applyBorder="1" applyAlignment="1" applyProtection="1">
      <alignment horizontal="center"/>
      <protection hidden="1"/>
    </xf>
    <xf numFmtId="173" fontId="40" fillId="0" borderId="2" xfId="0" applyNumberFormat="1" applyFont="1" applyBorder="1" applyAlignment="1" applyProtection="1">
      <alignment horizontal="center"/>
      <protection hidden="1"/>
    </xf>
    <xf numFmtId="0" fontId="76" fillId="7" borderId="0" xfId="0" applyFont="1" applyFill="1" applyProtection="1"/>
    <xf numFmtId="0" fontId="66" fillId="0" borderId="41" xfId="0" applyFont="1" applyBorder="1" applyAlignment="1" applyProtection="1">
      <alignment horizontal="center"/>
      <protection hidden="1"/>
    </xf>
    <xf numFmtId="0" fontId="26" fillId="9" borderId="50" xfId="0" applyFont="1" applyFill="1" applyBorder="1" applyAlignment="1" applyProtection="1">
      <alignment horizontal="center"/>
      <protection hidden="1"/>
    </xf>
    <xf numFmtId="0" fontId="66" fillId="0" borderId="45" xfId="0" applyFont="1" applyBorder="1" applyAlignment="1" applyProtection="1">
      <alignment horizontal="center"/>
      <protection hidden="1"/>
    </xf>
    <xf numFmtId="0" fontId="26" fillId="13" borderId="48" xfId="0" applyFont="1" applyFill="1" applyBorder="1" applyAlignment="1" applyProtection="1">
      <alignment horizontal="left"/>
      <protection locked="0" hidden="1"/>
    </xf>
    <xf numFmtId="0" fontId="26" fillId="9" borderId="47" xfId="0" applyFont="1" applyFill="1" applyBorder="1" applyAlignment="1" applyProtection="1">
      <alignment horizontal="center"/>
      <protection hidden="1"/>
    </xf>
    <xf numFmtId="0" fontId="25" fillId="0" borderId="59" xfId="0" applyFont="1" applyBorder="1" applyAlignment="1" applyProtection="1">
      <alignment horizontal="center"/>
      <protection hidden="1"/>
    </xf>
    <xf numFmtId="0" fontId="5" fillId="0" borderId="60" xfId="0" applyFont="1" applyBorder="1" applyAlignment="1" applyProtection="1">
      <alignment horizontal="center"/>
      <protection hidden="1"/>
    </xf>
    <xf numFmtId="0" fontId="5" fillId="0" borderId="61" xfId="0" applyFont="1" applyBorder="1" applyAlignment="1" applyProtection="1">
      <alignment horizontal="center"/>
      <protection hidden="1"/>
    </xf>
    <xf numFmtId="0" fontId="5" fillId="9" borderId="61" xfId="0" applyFont="1" applyFill="1" applyBorder="1" applyAlignment="1" applyProtection="1">
      <alignment horizontal="center"/>
      <protection hidden="1"/>
    </xf>
    <xf numFmtId="0" fontId="5" fillId="9" borderId="62" xfId="0" applyFont="1" applyFill="1" applyBorder="1" applyAlignment="1" applyProtection="1">
      <alignment horizontal="center"/>
      <protection hidden="1"/>
    </xf>
    <xf numFmtId="0" fontId="26" fillId="9" borderId="44" xfId="0" applyFont="1" applyFill="1" applyBorder="1" applyAlignment="1" applyProtection="1">
      <alignment horizontal="center"/>
      <protection hidden="1"/>
    </xf>
    <xf numFmtId="0" fontId="38" fillId="0" borderId="4" xfId="0" applyFont="1" applyBorder="1" applyAlignment="1" applyProtection="1">
      <alignment horizontal="center"/>
      <protection hidden="1"/>
    </xf>
    <xf numFmtId="0" fontId="78" fillId="10" borderId="0" xfId="0" applyFont="1" applyFill="1" applyProtection="1">
      <protection hidden="1"/>
    </xf>
    <xf numFmtId="0" fontId="78" fillId="10" borderId="0" xfId="0" applyFont="1" applyFill="1" applyBorder="1" applyProtection="1">
      <protection hidden="1"/>
    </xf>
    <xf numFmtId="0" fontId="22" fillId="3" borderId="0" xfId="0" applyFont="1" applyFill="1" applyBorder="1" applyProtection="1">
      <protection hidden="1"/>
    </xf>
    <xf numFmtId="0" fontId="5" fillId="10" borderId="0" xfId="0" applyFont="1" applyFill="1" applyBorder="1" applyProtection="1">
      <protection hidden="1"/>
    </xf>
    <xf numFmtId="0" fontId="26" fillId="2" borderId="46" xfId="0" applyFont="1" applyFill="1" applyBorder="1" applyAlignment="1">
      <alignment horizontal="right"/>
    </xf>
    <xf numFmtId="0" fontId="41" fillId="2" borderId="4" xfId="0" applyFont="1" applyFill="1" applyBorder="1" applyAlignment="1">
      <alignment horizontal="left"/>
    </xf>
    <xf numFmtId="0" fontId="26" fillId="2" borderId="44" xfId="0" applyFont="1" applyFill="1" applyBorder="1"/>
    <xf numFmtId="0" fontId="43" fillId="2" borderId="4" xfId="0" applyFont="1" applyFill="1" applyBorder="1" applyAlignment="1">
      <alignment horizontal="left"/>
    </xf>
    <xf numFmtId="2" fontId="26" fillId="2" borderId="44" xfId="0" applyNumberFormat="1" applyFont="1" applyFill="1" applyBorder="1" applyAlignment="1">
      <alignment horizontal="right"/>
    </xf>
    <xf numFmtId="0" fontId="26" fillId="2" borderId="4" xfId="0" applyFont="1" applyFill="1" applyBorder="1" applyAlignment="1">
      <alignment horizontal="left"/>
    </xf>
    <xf numFmtId="0" fontId="26" fillId="2" borderId="44" xfId="0" applyFont="1" applyFill="1" applyBorder="1" applyAlignment="1">
      <alignment horizontal="right"/>
    </xf>
    <xf numFmtId="2" fontId="26" fillId="2" borderId="44" xfId="0" applyNumberFormat="1" applyFont="1" applyFill="1" applyBorder="1"/>
    <xf numFmtId="1" fontId="26" fillId="2" borderId="44" xfId="0" applyNumberFormat="1" applyFont="1" applyFill="1" applyBorder="1"/>
    <xf numFmtId="173" fontId="26" fillId="2" borderId="44" xfId="0" applyNumberFormat="1" applyFont="1" applyFill="1" applyBorder="1" applyAlignment="1">
      <alignment horizontal="right"/>
    </xf>
    <xf numFmtId="0" fontId="43" fillId="2" borderId="4" xfId="0" applyFont="1" applyFill="1" applyBorder="1"/>
    <xf numFmtId="0" fontId="43" fillId="2" borderId="44" xfId="0" applyFont="1" applyFill="1" applyBorder="1"/>
    <xf numFmtId="0" fontId="43" fillId="2" borderId="45" xfId="0" applyFont="1" applyFill="1" applyBorder="1"/>
    <xf numFmtId="0" fontId="43" fillId="2" borderId="34" xfId="0" applyFont="1" applyFill="1" applyBorder="1"/>
    <xf numFmtId="0" fontId="43" fillId="2" borderId="47" xfId="0" applyFont="1" applyFill="1" applyBorder="1"/>
    <xf numFmtId="0" fontId="43" fillId="2" borderId="37" xfId="0" applyFont="1" applyFill="1" applyBorder="1"/>
    <xf numFmtId="0" fontId="26" fillId="2" borderId="46" xfId="0" applyFont="1" applyFill="1" applyBorder="1"/>
    <xf numFmtId="0" fontId="26" fillId="2" borderId="9" xfId="0" applyFont="1" applyFill="1" applyBorder="1"/>
    <xf numFmtId="0" fontId="43" fillId="2" borderId="6" xfId="0" applyFont="1" applyFill="1" applyBorder="1"/>
    <xf numFmtId="0" fontId="26" fillId="2" borderId="15" xfId="0" applyFont="1" applyFill="1" applyBorder="1"/>
    <xf numFmtId="0" fontId="26" fillId="2" borderId="55" xfId="0" applyFont="1" applyFill="1" applyBorder="1"/>
    <xf numFmtId="0" fontId="26" fillId="2" borderId="55" xfId="0" applyFont="1" applyFill="1" applyBorder="1" applyAlignment="1">
      <alignment horizontal="right"/>
    </xf>
    <xf numFmtId="0" fontId="26" fillId="2" borderId="56" xfId="0" applyFont="1" applyFill="1" applyBorder="1"/>
    <xf numFmtId="0" fontId="26" fillId="2" borderId="37" xfId="0" applyFont="1" applyFill="1" applyBorder="1"/>
    <xf numFmtId="1" fontId="26" fillId="2" borderId="55" xfId="0" applyNumberFormat="1" applyFont="1" applyFill="1" applyBorder="1"/>
    <xf numFmtId="0" fontId="26" fillId="2" borderId="0" xfId="0" applyFont="1" applyFill="1" applyBorder="1"/>
    <xf numFmtId="2" fontId="26" fillId="2" borderId="34" xfId="0" applyNumberFormat="1" applyFont="1" applyFill="1" applyBorder="1"/>
    <xf numFmtId="0" fontId="26" fillId="2" borderId="7" xfId="0" applyFont="1" applyFill="1" applyBorder="1"/>
    <xf numFmtId="0" fontId="43" fillId="2" borderId="1" xfId="0" applyFont="1" applyFill="1" applyBorder="1" applyAlignment="1"/>
    <xf numFmtId="0" fontId="43" fillId="2" borderId="2" xfId="0" applyFont="1" applyFill="1" applyBorder="1" applyAlignment="1"/>
    <xf numFmtId="0" fontId="1" fillId="2" borderId="12" xfId="0" applyFont="1" applyFill="1" applyBorder="1" applyProtection="1">
      <protection hidden="1"/>
    </xf>
    <xf numFmtId="0" fontId="35" fillId="2" borderId="13" xfId="0" applyFont="1" applyFill="1" applyBorder="1" applyProtection="1">
      <protection hidden="1"/>
    </xf>
    <xf numFmtId="0" fontId="31" fillId="2" borderId="59" xfId="0" applyFont="1" applyFill="1" applyBorder="1" applyAlignment="1" applyProtection="1">
      <alignment horizontal="center"/>
      <protection hidden="1"/>
    </xf>
    <xf numFmtId="0" fontId="31" fillId="2" borderId="30" xfId="0" applyFont="1" applyFill="1" applyBorder="1" applyAlignment="1" applyProtection="1">
      <alignment horizontal="center"/>
      <protection hidden="1"/>
    </xf>
    <xf numFmtId="0" fontId="31" fillId="2" borderId="12" xfId="0" applyFont="1" applyFill="1" applyBorder="1" applyAlignment="1" applyProtection="1">
      <alignment horizontal="center"/>
      <protection hidden="1"/>
    </xf>
    <xf numFmtId="0" fontId="26" fillId="2" borderId="60" xfId="0" applyFont="1" applyFill="1" applyBorder="1" applyAlignment="1" applyProtection="1">
      <alignment horizontal="center"/>
      <protection hidden="1"/>
    </xf>
    <xf numFmtId="0" fontId="26" fillId="2" borderId="61" xfId="0" applyFont="1" applyFill="1" applyBorder="1" applyAlignment="1" applyProtection="1">
      <alignment horizontal="center"/>
      <protection hidden="1"/>
    </xf>
    <xf numFmtId="0" fontId="26" fillId="2" borderId="62" xfId="0" applyFont="1" applyFill="1" applyBorder="1" applyAlignment="1" applyProtection="1">
      <alignment horizontal="center"/>
      <protection hidden="1"/>
    </xf>
    <xf numFmtId="0" fontId="31" fillId="2" borderId="4" xfId="0" applyFont="1" applyFill="1" applyBorder="1" applyAlignment="1" applyProtection="1">
      <alignment horizontal="center"/>
      <protection hidden="1"/>
    </xf>
    <xf numFmtId="0" fontId="26" fillId="2" borderId="2" xfId="0" applyFont="1" applyFill="1" applyBorder="1" applyAlignment="1" applyProtection="1">
      <alignment horizontal="left"/>
      <protection locked="0" hidden="1"/>
    </xf>
    <xf numFmtId="173" fontId="26" fillId="2" borderId="2" xfId="0" applyNumberFormat="1" applyFont="1" applyFill="1" applyBorder="1" applyAlignment="1" applyProtection="1">
      <alignment horizontal="center"/>
      <protection locked="0" hidden="1"/>
    </xf>
    <xf numFmtId="0" fontId="26" fillId="2" borderId="2" xfId="0" applyFont="1" applyFill="1" applyBorder="1" applyAlignment="1" applyProtection="1">
      <alignment horizontal="center"/>
      <protection hidden="1"/>
    </xf>
    <xf numFmtId="0" fontId="26" fillId="2" borderId="44" xfId="0" applyFont="1" applyFill="1" applyBorder="1" applyAlignment="1" applyProtection="1">
      <alignment horizontal="center"/>
      <protection hidden="1"/>
    </xf>
    <xf numFmtId="0" fontId="26" fillId="2" borderId="4" xfId="0" applyFont="1" applyFill="1" applyBorder="1" applyAlignment="1" applyProtection="1">
      <alignment horizontal="center"/>
      <protection hidden="1"/>
    </xf>
    <xf numFmtId="0" fontId="31" fillId="2" borderId="45" xfId="0" applyFont="1" applyFill="1" applyBorder="1" applyAlignment="1" applyProtection="1">
      <alignment horizontal="center"/>
      <protection hidden="1"/>
    </xf>
    <xf numFmtId="0" fontId="26" fillId="2" borderId="34" xfId="0" applyFont="1" applyFill="1" applyBorder="1" applyAlignment="1" applyProtection="1">
      <alignment horizontal="left"/>
      <protection locked="0" hidden="1"/>
    </xf>
    <xf numFmtId="173" fontId="26" fillId="2" borderId="34" xfId="0" applyNumberFormat="1" applyFont="1" applyFill="1" applyBorder="1" applyAlignment="1" applyProtection="1">
      <alignment horizontal="center"/>
      <protection locked="0" hidden="1"/>
    </xf>
    <xf numFmtId="0" fontId="26" fillId="2" borderId="34" xfId="0" applyFont="1" applyFill="1" applyBorder="1" applyAlignment="1" applyProtection="1">
      <alignment horizontal="center"/>
      <protection hidden="1"/>
    </xf>
    <xf numFmtId="0" fontId="26" fillId="2" borderId="47" xfId="0" applyFont="1" applyFill="1" applyBorder="1" applyAlignment="1" applyProtection="1">
      <alignment horizontal="center"/>
      <protection hidden="1"/>
    </xf>
    <xf numFmtId="0" fontId="31" fillId="2" borderId="3" xfId="0" applyFont="1" applyFill="1" applyBorder="1" applyAlignment="1" applyProtection="1">
      <alignment horizontal="center"/>
      <protection hidden="1"/>
    </xf>
    <xf numFmtId="0" fontId="26" fillId="2" borderId="37" xfId="0" applyFont="1" applyFill="1" applyBorder="1" applyAlignment="1" applyProtection="1">
      <alignment horizontal="left"/>
      <protection locked="0" hidden="1"/>
    </xf>
    <xf numFmtId="173" fontId="26" fillId="2" borderId="37" xfId="0" applyNumberFormat="1" applyFont="1" applyFill="1" applyBorder="1" applyAlignment="1" applyProtection="1">
      <alignment horizontal="center"/>
      <protection locked="0" hidden="1"/>
    </xf>
    <xf numFmtId="0" fontId="26" fillId="2" borderId="37" xfId="0" applyFont="1" applyFill="1" applyBorder="1" applyAlignment="1" applyProtection="1">
      <alignment horizontal="center"/>
      <protection hidden="1"/>
    </xf>
    <xf numFmtId="0" fontId="26" fillId="2" borderId="46" xfId="0" applyFont="1" applyFill="1" applyBorder="1" applyAlignment="1" applyProtection="1">
      <alignment horizontal="center"/>
      <protection hidden="1"/>
    </xf>
    <xf numFmtId="0" fontId="31" fillId="2" borderId="41" xfId="0" applyFont="1" applyFill="1" applyBorder="1" applyAlignment="1" applyProtection="1">
      <alignment horizontal="center"/>
      <protection hidden="1"/>
    </xf>
    <xf numFmtId="0" fontId="26" fillId="2" borderId="22" xfId="0" applyFont="1" applyFill="1" applyBorder="1" applyAlignment="1" applyProtection="1">
      <alignment horizontal="left"/>
      <protection locked="0" hidden="1"/>
    </xf>
    <xf numFmtId="173" fontId="26" fillId="2" borderId="30" xfId="0" applyNumberFormat="1" applyFont="1" applyFill="1" applyBorder="1" applyAlignment="1" applyProtection="1">
      <alignment horizontal="center"/>
      <protection locked="0" hidden="1"/>
    </xf>
    <xf numFmtId="0" fontId="26" fillId="2" borderId="30" xfId="0" applyFont="1" applyFill="1" applyBorder="1" applyAlignment="1" applyProtection="1">
      <alignment horizontal="center"/>
      <protection hidden="1"/>
    </xf>
    <xf numFmtId="0" fontId="26" fillId="2" borderId="50" xfId="0" applyFont="1" applyFill="1" applyBorder="1" applyAlignment="1" applyProtection="1">
      <alignment horizontal="center"/>
      <protection hidden="1"/>
    </xf>
    <xf numFmtId="0" fontId="26" fillId="2" borderId="48" xfId="0" applyFont="1" applyFill="1" applyBorder="1" applyAlignment="1" applyProtection="1">
      <alignment horizontal="left"/>
      <protection locked="0" hidden="1"/>
    </xf>
    <xf numFmtId="173" fontId="26" fillId="2" borderId="35" xfId="0" applyNumberFormat="1" applyFont="1" applyFill="1" applyBorder="1" applyAlignment="1" applyProtection="1">
      <alignment horizontal="center"/>
      <protection locked="0" hidden="1"/>
    </xf>
    <xf numFmtId="0" fontId="26" fillId="2" borderId="22" xfId="0" applyFont="1" applyFill="1" applyBorder="1" applyAlignment="1" applyProtection="1">
      <alignment horizontal="center"/>
      <protection hidden="1"/>
    </xf>
    <xf numFmtId="0" fontId="26" fillId="2" borderId="24" xfId="0" applyFont="1" applyFill="1" applyBorder="1" applyAlignment="1" applyProtection="1">
      <alignment horizontal="center"/>
      <protection hidden="1"/>
    </xf>
    <xf numFmtId="0" fontId="35" fillId="2" borderId="11" xfId="0" applyFont="1" applyFill="1" applyBorder="1" applyProtection="1">
      <protection hidden="1"/>
    </xf>
    <xf numFmtId="0" fontId="26" fillId="2" borderId="48" xfId="0" applyFont="1" applyFill="1" applyBorder="1" applyAlignment="1" applyProtection="1">
      <alignment horizontal="center"/>
      <protection hidden="1"/>
    </xf>
    <xf numFmtId="0" fontId="26" fillId="2" borderId="49" xfId="0" applyFont="1" applyFill="1" applyBorder="1" applyAlignment="1" applyProtection="1">
      <alignment horizontal="center"/>
      <protection hidden="1"/>
    </xf>
    <xf numFmtId="0" fontId="66" fillId="0" borderId="23" xfId="0" applyFont="1" applyBorder="1" applyAlignment="1" applyProtection="1">
      <alignment horizontal="center"/>
      <protection hidden="1"/>
    </xf>
    <xf numFmtId="173" fontId="26" fillId="7" borderId="63" xfId="0" applyNumberFormat="1" applyFont="1" applyFill="1" applyBorder="1" applyAlignment="1" applyProtection="1">
      <alignment horizontal="center"/>
      <protection locked="0" hidden="1"/>
    </xf>
    <xf numFmtId="0" fontId="31" fillId="2" borderId="23" xfId="0" applyFont="1" applyFill="1" applyBorder="1" applyAlignment="1" applyProtection="1">
      <alignment horizontal="center"/>
      <protection hidden="1"/>
    </xf>
    <xf numFmtId="173" fontId="26" fillId="2" borderId="63" xfId="0" applyNumberFormat="1" applyFont="1" applyFill="1" applyBorder="1" applyAlignment="1" applyProtection="1">
      <alignment horizontal="center"/>
      <protection locked="0" hidden="1"/>
    </xf>
    <xf numFmtId="0" fontId="10" fillId="2" borderId="0" xfId="0" applyFont="1" applyFill="1"/>
    <xf numFmtId="0" fontId="5" fillId="0" borderId="23"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4" xfId="0" applyFont="1" applyBorder="1" applyAlignment="1" applyProtection="1">
      <alignment horizontal="left"/>
      <protection hidden="1"/>
    </xf>
    <xf numFmtId="3" fontId="5" fillId="0" borderId="44" xfId="0" applyNumberFormat="1" applyFont="1" applyBorder="1" applyAlignment="1" applyProtection="1">
      <alignment horizontal="center"/>
      <protection hidden="1"/>
    </xf>
    <xf numFmtId="3" fontId="5" fillId="0" borderId="50" xfId="0" applyNumberFormat="1" applyFont="1" applyBorder="1" applyAlignment="1" applyProtection="1">
      <alignment horizontal="center"/>
      <protection hidden="1"/>
    </xf>
    <xf numFmtId="0" fontId="5" fillId="12" borderId="4" xfId="0" applyFont="1" applyFill="1" applyBorder="1" applyAlignment="1" applyProtection="1">
      <alignment horizontal="left"/>
      <protection hidden="1"/>
    </xf>
    <xf numFmtId="3" fontId="10" fillId="12" borderId="44" xfId="0" applyNumberFormat="1" applyFont="1" applyFill="1" applyBorder="1" applyAlignment="1" applyProtection="1">
      <alignment horizontal="center"/>
      <protection hidden="1"/>
    </xf>
    <xf numFmtId="0" fontId="5" fillId="3" borderId="4" xfId="0" applyFont="1" applyFill="1" applyBorder="1" applyAlignment="1" applyProtection="1">
      <alignment horizontal="left"/>
      <protection hidden="1"/>
    </xf>
    <xf numFmtId="42" fontId="5" fillId="3" borderId="24" xfId="2" applyNumberFormat="1" applyFont="1" applyFill="1" applyBorder="1" applyAlignment="1" applyProtection="1">
      <alignment horizontal="center"/>
      <protection hidden="1"/>
    </xf>
    <xf numFmtId="204" fontId="5" fillId="3" borderId="44" xfId="2" applyNumberFormat="1" applyFont="1" applyFill="1" applyBorder="1" applyAlignment="1" applyProtection="1">
      <alignment horizontal="center"/>
      <protection hidden="1"/>
    </xf>
    <xf numFmtId="173" fontId="5" fillId="0" borderId="44" xfId="0" applyNumberFormat="1" applyFont="1" applyBorder="1" applyAlignment="1" applyProtection="1">
      <alignment horizontal="center"/>
      <protection hidden="1"/>
    </xf>
    <xf numFmtId="0" fontId="10" fillId="12" borderId="64" xfId="0" applyFont="1" applyFill="1" applyBorder="1" applyAlignment="1" applyProtection="1">
      <alignment horizontal="left"/>
      <protection hidden="1"/>
    </xf>
    <xf numFmtId="173" fontId="10" fillId="12" borderId="44" xfId="0" applyNumberFormat="1" applyFont="1" applyFill="1" applyBorder="1" applyAlignment="1" applyProtection="1">
      <alignment horizontal="center"/>
      <protection hidden="1"/>
    </xf>
    <xf numFmtId="173" fontId="9" fillId="0" borderId="44" xfId="0" applyNumberFormat="1" applyFont="1" applyBorder="1" applyAlignment="1" applyProtection="1">
      <alignment horizontal="center"/>
      <protection hidden="1"/>
    </xf>
    <xf numFmtId="1" fontId="10" fillId="0" borderId="44" xfId="0" applyNumberFormat="1" applyFont="1" applyBorder="1" applyAlignment="1" applyProtection="1">
      <alignment horizontal="center"/>
      <protection hidden="1"/>
    </xf>
    <xf numFmtId="0" fontId="5" fillId="2" borderId="34" xfId="0" applyFont="1" applyFill="1" applyBorder="1" applyAlignment="1" applyProtection="1">
      <alignment horizontal="center"/>
      <protection hidden="1"/>
    </xf>
    <xf numFmtId="1" fontId="38" fillId="0" borderId="2" xfId="0" applyNumberFormat="1" applyFont="1" applyBorder="1" applyAlignment="1" applyProtection="1">
      <alignment horizontal="center"/>
      <protection hidden="1"/>
    </xf>
    <xf numFmtId="0" fontId="2" fillId="10" borderId="0" xfId="0" applyFont="1" applyFill="1" applyBorder="1" applyProtection="1">
      <protection hidden="1"/>
    </xf>
    <xf numFmtId="0" fontId="37" fillId="2" borderId="16" xfId="0" applyFont="1" applyFill="1" applyBorder="1" applyProtection="1">
      <protection hidden="1"/>
    </xf>
    <xf numFmtId="0" fontId="3" fillId="2" borderId="18" xfId="0" applyFont="1" applyFill="1" applyBorder="1" applyProtection="1">
      <protection hidden="1"/>
    </xf>
    <xf numFmtId="0" fontId="81" fillId="2" borderId="29" xfId="0" applyFont="1" applyFill="1" applyBorder="1" applyAlignment="1" applyProtection="1">
      <alignment horizontal="center"/>
      <protection hidden="1"/>
    </xf>
    <xf numFmtId="0" fontId="25" fillId="2" borderId="16" xfId="0" applyFont="1" applyFill="1" applyBorder="1" applyProtection="1">
      <protection hidden="1"/>
    </xf>
    <xf numFmtId="0" fontId="80" fillId="2" borderId="0" xfId="0" applyFont="1" applyFill="1"/>
    <xf numFmtId="0" fontId="52" fillId="2" borderId="0" xfId="0" applyFont="1" applyFill="1" applyBorder="1" applyProtection="1">
      <protection hidden="1"/>
    </xf>
    <xf numFmtId="0" fontId="35" fillId="2" borderId="0" xfId="0" applyFont="1" applyFill="1"/>
    <xf numFmtId="0" fontId="2" fillId="2" borderId="0" xfId="0" applyFont="1" applyFill="1" applyProtection="1">
      <protection hidden="1"/>
    </xf>
    <xf numFmtId="0" fontId="5" fillId="2" borderId="0" xfId="0" applyFont="1" applyFill="1" applyBorder="1" applyAlignment="1" applyProtection="1">
      <alignment horizontal="right"/>
      <protection locked="0" hidden="1"/>
    </xf>
    <xf numFmtId="44" fontId="5" fillId="2" borderId="0" xfId="2" applyFont="1" applyFill="1" applyBorder="1" applyProtection="1">
      <protection hidden="1"/>
    </xf>
    <xf numFmtId="0" fontId="2" fillId="2" borderId="28" xfId="0" applyFont="1" applyFill="1" applyBorder="1" applyProtection="1">
      <protection hidden="1"/>
    </xf>
    <xf numFmtId="0" fontId="2" fillId="2" borderId="21" xfId="0" applyFont="1" applyFill="1" applyBorder="1" applyProtection="1">
      <protection hidden="1"/>
    </xf>
    <xf numFmtId="0" fontId="15" fillId="2" borderId="2" xfId="0" applyFont="1" applyFill="1" applyBorder="1" applyProtection="1">
      <protection hidden="1"/>
    </xf>
    <xf numFmtId="0" fontId="5" fillId="2" borderId="5" xfId="0" applyFont="1" applyFill="1" applyBorder="1" applyAlignment="1" applyProtection="1">
      <protection hidden="1"/>
    </xf>
    <xf numFmtId="0" fontId="5" fillId="2" borderId="6" xfId="0" applyFont="1" applyFill="1" applyBorder="1" applyAlignment="1" applyProtection="1">
      <protection hidden="1"/>
    </xf>
    <xf numFmtId="1" fontId="5" fillId="2" borderId="15" xfId="0" applyNumberFormat="1" applyFont="1" applyFill="1" applyBorder="1" applyAlignment="1" applyProtection="1">
      <alignment horizontal="center"/>
      <protection hidden="1"/>
    </xf>
    <xf numFmtId="1" fontId="8" fillId="2" borderId="0" xfId="0" applyNumberFormat="1" applyFont="1" applyFill="1" applyBorder="1" applyProtection="1">
      <protection hidden="1"/>
    </xf>
    <xf numFmtId="0" fontId="5" fillId="2" borderId="0" xfId="0" applyFont="1" applyFill="1" applyBorder="1" applyProtection="1">
      <protection hidden="1"/>
    </xf>
    <xf numFmtId="0" fontId="3" fillId="2" borderId="0" xfId="0" applyFont="1" applyFill="1"/>
    <xf numFmtId="0" fontId="2" fillId="2" borderId="2" xfId="0" applyFont="1" applyFill="1" applyBorder="1"/>
    <xf numFmtId="44" fontId="5" fillId="2" borderId="0" xfId="2" applyFont="1" applyFill="1" applyBorder="1" applyAlignment="1" applyProtection="1">
      <protection hidden="1"/>
    </xf>
    <xf numFmtId="0" fontId="2" fillId="2" borderId="2" xfId="0" applyFont="1" applyFill="1" applyBorder="1" applyProtection="1">
      <protection hidden="1"/>
    </xf>
    <xf numFmtId="44" fontId="5" fillId="2" borderId="37" xfId="2" applyFont="1" applyFill="1" applyBorder="1" applyProtection="1">
      <protection hidden="1"/>
    </xf>
    <xf numFmtId="44" fontId="5" fillId="2" borderId="46" xfId="2" applyFont="1" applyFill="1" applyBorder="1" applyProtection="1">
      <protection hidden="1"/>
    </xf>
    <xf numFmtId="0" fontId="5" fillId="2" borderId="34" xfId="0" applyFont="1" applyFill="1" applyBorder="1" applyProtection="1">
      <protection hidden="1"/>
    </xf>
    <xf numFmtId="0" fontId="2" fillId="2" borderId="47" xfId="0" applyFont="1" applyFill="1" applyBorder="1" applyProtection="1">
      <protection hidden="1"/>
    </xf>
    <xf numFmtId="1" fontId="5" fillId="2" borderId="2" xfId="0" applyNumberFormat="1" applyFont="1" applyFill="1" applyBorder="1" applyAlignment="1" applyProtection="1">
      <alignment horizontal="center"/>
      <protection hidden="1"/>
    </xf>
    <xf numFmtId="2" fontId="5" fillId="2" borderId="2" xfId="0" applyNumberFormat="1" applyFont="1" applyFill="1" applyBorder="1" applyAlignment="1" applyProtection="1">
      <alignment horizontal="center"/>
      <protection hidden="1"/>
    </xf>
    <xf numFmtId="173" fontId="5" fillId="2" borderId="2" xfId="0" applyNumberFormat="1" applyFont="1" applyFill="1" applyBorder="1" applyAlignment="1" applyProtection="1">
      <alignment horizontal="center"/>
      <protection hidden="1"/>
    </xf>
    <xf numFmtId="0" fontId="5" fillId="2" borderId="1" xfId="0" applyFont="1" applyFill="1" applyBorder="1" applyAlignment="1" applyProtection="1">
      <protection hidden="1"/>
    </xf>
    <xf numFmtId="1" fontId="5" fillId="2" borderId="2" xfId="0" applyNumberFormat="1" applyFont="1" applyFill="1" applyBorder="1" applyAlignment="1" applyProtection="1">
      <protection hidden="1"/>
    </xf>
    <xf numFmtId="44" fontId="5" fillId="2" borderId="43" xfId="2" applyFont="1" applyFill="1" applyBorder="1" applyProtection="1">
      <protection hidden="1"/>
    </xf>
    <xf numFmtId="0" fontId="5" fillId="2" borderId="4" xfId="0" applyFont="1" applyFill="1" applyBorder="1" applyProtection="1">
      <protection hidden="1"/>
    </xf>
    <xf numFmtId="0" fontId="33" fillId="2" borderId="4" xfId="0" applyFont="1" applyFill="1" applyBorder="1" applyAlignment="1" applyProtection="1">
      <alignment horizontal="left"/>
      <protection hidden="1"/>
    </xf>
    <xf numFmtId="0" fontId="5" fillId="2" borderId="44" xfId="0" applyFont="1" applyFill="1" applyBorder="1" applyAlignment="1" applyProtection="1">
      <alignment horizontal="center"/>
      <protection locked="0" hidden="1"/>
    </xf>
    <xf numFmtId="2" fontId="5" fillId="2" borderId="44" xfId="0" applyNumberFormat="1" applyFont="1" applyFill="1" applyBorder="1" applyAlignment="1" applyProtection="1">
      <alignment horizontal="center"/>
      <protection locked="0" hidden="1"/>
    </xf>
    <xf numFmtId="44" fontId="5" fillId="2" borderId="65" xfId="2" applyFont="1" applyFill="1" applyBorder="1" applyAlignment="1" applyProtection="1">
      <protection hidden="1"/>
    </xf>
    <xf numFmtId="44" fontId="5" fillId="2" borderId="66" xfId="2" applyFont="1" applyFill="1" applyBorder="1" applyAlignment="1" applyProtection="1">
      <alignment horizontal="left"/>
      <protection hidden="1"/>
    </xf>
    <xf numFmtId="44" fontId="5" fillId="2" borderId="65" xfId="2" applyFont="1" applyFill="1" applyBorder="1" applyProtection="1">
      <protection hidden="1"/>
    </xf>
    <xf numFmtId="44" fontId="5" fillId="2" borderId="67" xfId="2" applyFont="1" applyFill="1" applyBorder="1" applyProtection="1">
      <protection hidden="1"/>
    </xf>
    <xf numFmtId="1" fontId="5" fillId="2" borderId="44" xfId="0" applyNumberFormat="1" applyFont="1" applyFill="1" applyBorder="1" applyAlignment="1" applyProtection="1">
      <alignment horizontal="center"/>
      <protection hidden="1"/>
    </xf>
    <xf numFmtId="1" fontId="5" fillId="2" borderId="4" xfId="0" applyNumberFormat="1" applyFont="1" applyFill="1" applyBorder="1" applyAlignment="1" applyProtection="1">
      <alignment horizontal="left"/>
      <protection hidden="1"/>
    </xf>
    <xf numFmtId="2" fontId="5" fillId="2" borderId="44" xfId="0" applyNumberFormat="1" applyFont="1" applyFill="1" applyBorder="1" applyAlignment="1" applyProtection="1">
      <alignment horizontal="center"/>
      <protection hidden="1"/>
    </xf>
    <xf numFmtId="173" fontId="5" fillId="2" borderId="44" xfId="0" applyNumberFormat="1" applyFont="1" applyFill="1" applyBorder="1" applyAlignment="1" applyProtection="1">
      <alignment horizontal="center"/>
      <protection hidden="1"/>
    </xf>
    <xf numFmtId="1" fontId="5" fillId="2" borderId="45" xfId="0" applyNumberFormat="1" applyFont="1" applyFill="1" applyBorder="1" applyAlignment="1" applyProtection="1">
      <alignment horizontal="left"/>
      <protection hidden="1"/>
    </xf>
    <xf numFmtId="1" fontId="5" fillId="2" borderId="34" xfId="0" applyNumberFormat="1" applyFont="1" applyFill="1" applyBorder="1" applyAlignment="1" applyProtection="1">
      <alignment horizontal="center"/>
      <protection hidden="1"/>
    </xf>
    <xf numFmtId="2" fontId="5" fillId="2" borderId="45" xfId="0" applyNumberFormat="1" applyFont="1" applyFill="1" applyBorder="1" applyAlignment="1" applyProtection="1">
      <alignment horizontal="left"/>
      <protection hidden="1"/>
    </xf>
    <xf numFmtId="173" fontId="5" fillId="2" borderId="34" xfId="0" applyNumberFormat="1" applyFont="1" applyFill="1" applyBorder="1" applyAlignment="1" applyProtection="1">
      <alignment horizontal="center"/>
      <protection hidden="1"/>
    </xf>
    <xf numFmtId="2" fontId="5" fillId="2" borderId="47" xfId="0" applyNumberFormat="1" applyFont="1" applyFill="1" applyBorder="1" applyAlignment="1" applyProtection="1">
      <alignment horizontal="center"/>
      <protection hidden="1"/>
    </xf>
    <xf numFmtId="0" fontId="25" fillId="2" borderId="3" xfId="0" applyFont="1" applyFill="1" applyBorder="1" applyAlignment="1" applyProtection="1">
      <protection hidden="1"/>
    </xf>
    <xf numFmtId="0" fontId="25" fillId="2" borderId="37" xfId="0" applyFont="1" applyFill="1" applyBorder="1" applyAlignment="1" applyProtection="1">
      <protection hidden="1"/>
    </xf>
    <xf numFmtId="0" fontId="25" fillId="2" borderId="46" xfId="0" applyFont="1" applyFill="1" applyBorder="1" applyAlignment="1" applyProtection="1">
      <protection hidden="1"/>
    </xf>
    <xf numFmtId="0" fontId="5" fillId="2" borderId="4" xfId="0" applyFont="1" applyFill="1" applyBorder="1" applyAlignment="1" applyProtection="1">
      <protection hidden="1"/>
    </xf>
    <xf numFmtId="0" fontId="5" fillId="2" borderId="54" xfId="0" applyFont="1" applyFill="1" applyBorder="1" applyAlignment="1" applyProtection="1">
      <protection hidden="1"/>
    </xf>
    <xf numFmtId="0" fontId="2" fillId="2" borderId="4" xfId="0" applyFont="1" applyFill="1" applyBorder="1" applyProtection="1">
      <protection hidden="1"/>
    </xf>
    <xf numFmtId="0" fontId="2" fillId="2" borderId="44" xfId="0" applyFont="1" applyFill="1" applyBorder="1" applyAlignment="1" applyProtection="1">
      <alignment horizontal="center"/>
      <protection hidden="1"/>
    </xf>
    <xf numFmtId="0" fontId="5" fillId="2" borderId="45" xfId="0" applyFont="1" applyFill="1" applyBorder="1" applyAlignment="1" applyProtection="1">
      <protection hidden="1"/>
    </xf>
    <xf numFmtId="0" fontId="2" fillId="2" borderId="34" xfId="0" applyFont="1" applyFill="1" applyBorder="1" applyProtection="1">
      <protection hidden="1"/>
    </xf>
    <xf numFmtId="0" fontId="5" fillId="2" borderId="45" xfId="0" applyFont="1" applyFill="1" applyBorder="1" applyAlignment="1" applyProtection="1">
      <alignment horizontal="left"/>
      <protection hidden="1"/>
    </xf>
    <xf numFmtId="0" fontId="5" fillId="2" borderId="34" xfId="0" applyFont="1" applyFill="1" applyBorder="1" applyAlignment="1" applyProtection="1">
      <alignment horizontal="left"/>
      <protection hidden="1"/>
    </xf>
    <xf numFmtId="1" fontId="5" fillId="2" borderId="4" xfId="0" applyNumberFormat="1" applyFont="1" applyFill="1" applyBorder="1" applyAlignment="1" applyProtection="1">
      <protection hidden="1"/>
    </xf>
    <xf numFmtId="0" fontId="55" fillId="3" borderId="0" xfId="0" applyFont="1" applyFill="1" applyProtection="1">
      <protection hidden="1"/>
    </xf>
    <xf numFmtId="2" fontId="0" fillId="0" borderId="0" xfId="0" applyNumberFormat="1" applyAlignment="1">
      <alignment horizontal="center"/>
    </xf>
    <xf numFmtId="0" fontId="64" fillId="5" borderId="0" xfId="0" applyFont="1" applyFill="1" applyAlignment="1" applyProtection="1">
      <alignment horizontal="left"/>
    </xf>
    <xf numFmtId="0" fontId="50" fillId="5" borderId="0" xfId="0" applyFont="1" applyFill="1" applyProtection="1"/>
    <xf numFmtId="2" fontId="6" fillId="7" borderId="2" xfId="0" applyNumberFormat="1" applyFont="1" applyFill="1" applyBorder="1" applyProtection="1">
      <protection hidden="1"/>
    </xf>
    <xf numFmtId="2" fontId="6" fillId="7" borderId="31" xfId="0" applyNumberFormat="1" applyFont="1" applyFill="1" applyBorder="1" applyProtection="1">
      <protection hidden="1"/>
    </xf>
    <xf numFmtId="0" fontId="6" fillId="2" borderId="2" xfId="0" applyFont="1" applyFill="1" applyBorder="1" applyAlignment="1" applyProtection="1">
      <alignment horizontal="left"/>
      <protection hidden="1"/>
    </xf>
    <xf numFmtId="0" fontId="6" fillId="2" borderId="0" xfId="0" applyFont="1" applyFill="1" applyBorder="1" applyProtection="1">
      <protection hidden="1"/>
    </xf>
    <xf numFmtId="0" fontId="6" fillId="2" borderId="10" xfId="0" applyFont="1" applyFill="1" applyBorder="1" applyProtection="1">
      <protection hidden="1"/>
    </xf>
    <xf numFmtId="0" fontId="6" fillId="0" borderId="0" xfId="0" applyFont="1"/>
    <xf numFmtId="0" fontId="9" fillId="2" borderId="2"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3" fillId="3" borderId="0" xfId="0" applyFont="1" applyFill="1" applyProtection="1"/>
    <xf numFmtId="0" fontId="25" fillId="3" borderId="0" xfId="0" applyFont="1" applyFill="1" applyProtection="1"/>
    <xf numFmtId="0" fontId="6" fillId="3" borderId="0" xfId="0" applyFont="1" applyFill="1" applyProtection="1"/>
    <xf numFmtId="0" fontId="14" fillId="3" borderId="0" xfId="0" applyFont="1" applyFill="1" applyAlignment="1" applyProtection="1"/>
    <xf numFmtId="0" fontId="5" fillId="3" borderId="0" xfId="0" applyFont="1" applyFill="1" applyProtection="1"/>
    <xf numFmtId="0" fontId="0" fillId="3" borderId="0" xfId="0" applyFill="1"/>
    <xf numFmtId="0" fontId="6" fillId="3" borderId="0" xfId="0" applyFont="1" applyFill="1" applyAlignment="1">
      <alignment horizontal="center"/>
    </xf>
    <xf numFmtId="1" fontId="8" fillId="0" borderId="0" xfId="0" applyNumberFormat="1" applyFont="1" applyProtection="1">
      <protection hidden="1"/>
    </xf>
    <xf numFmtId="1" fontId="49" fillId="2" borderId="0" xfId="0" applyNumberFormat="1" applyFont="1" applyFill="1" applyProtection="1">
      <protection hidden="1"/>
    </xf>
    <xf numFmtId="0" fontId="46" fillId="2" borderId="0" xfId="0" applyFont="1" applyFill="1" applyProtection="1">
      <protection hidden="1"/>
    </xf>
    <xf numFmtId="0" fontId="22" fillId="2" borderId="0" xfId="0" applyFont="1" applyFill="1" applyProtection="1">
      <protection hidden="1"/>
    </xf>
    <xf numFmtId="0" fontId="50" fillId="2" borderId="0" xfId="0" applyFont="1" applyFill="1" applyProtection="1">
      <protection hidden="1"/>
    </xf>
    <xf numFmtId="0" fontId="8" fillId="0" borderId="0" xfId="0" applyFont="1" applyProtection="1">
      <protection hidden="1"/>
    </xf>
    <xf numFmtId="1" fontId="22" fillId="2" borderId="0" xfId="0" applyNumberFormat="1" applyFont="1" applyFill="1" applyProtection="1">
      <protection hidden="1"/>
    </xf>
    <xf numFmtId="2" fontId="22" fillId="2" borderId="0" xfId="0" applyNumberFormat="1" applyFont="1" applyFill="1" applyProtection="1">
      <protection hidden="1"/>
    </xf>
    <xf numFmtId="2" fontId="64" fillId="2" borderId="0" xfId="0" applyNumberFormat="1" applyFont="1" applyFill="1" applyAlignment="1" applyProtection="1">
      <alignment horizontal="center"/>
      <protection hidden="1"/>
    </xf>
    <xf numFmtId="0" fontId="49" fillId="2" borderId="0" xfId="0" applyFont="1" applyFill="1" applyProtection="1">
      <protection hidden="1"/>
    </xf>
    <xf numFmtId="44" fontId="21" fillId="2" borderId="0" xfId="0" applyNumberFormat="1" applyFont="1" applyFill="1" applyProtection="1">
      <protection hidden="1"/>
    </xf>
    <xf numFmtId="2" fontId="49" fillId="2" borderId="0" xfId="0" applyNumberFormat="1" applyFont="1" applyFill="1" applyProtection="1">
      <protection hidden="1"/>
    </xf>
    <xf numFmtId="1" fontId="46" fillId="2" borderId="0" xfId="0" applyNumberFormat="1" applyFont="1" applyFill="1" applyProtection="1">
      <protection hidden="1"/>
    </xf>
    <xf numFmtId="173" fontId="46" fillId="2" borderId="0" xfId="0" applyNumberFormat="1" applyFont="1" applyFill="1" applyProtection="1">
      <protection hidden="1"/>
    </xf>
    <xf numFmtId="2" fontId="46" fillId="2" borderId="0" xfId="0" applyNumberFormat="1" applyFont="1" applyFill="1" applyProtection="1">
      <protection hidden="1"/>
    </xf>
    <xf numFmtId="173" fontId="22" fillId="2" borderId="0" xfId="0" applyNumberFormat="1" applyFont="1" applyFill="1" applyProtection="1">
      <protection hidden="1"/>
    </xf>
    <xf numFmtId="1" fontId="50" fillId="2" borderId="0" xfId="0" applyNumberFormat="1" applyFont="1" applyFill="1" applyProtection="1">
      <protection hidden="1"/>
    </xf>
    <xf numFmtId="2" fontId="50" fillId="2" borderId="0" xfId="0" applyNumberFormat="1" applyFont="1" applyFill="1" applyProtection="1">
      <protection hidden="1"/>
    </xf>
    <xf numFmtId="0" fontId="21" fillId="2" borderId="0" xfId="0" applyFont="1" applyFill="1" applyProtection="1">
      <protection hidden="1"/>
    </xf>
    <xf numFmtId="1" fontId="21" fillId="2" borderId="0" xfId="0" applyNumberFormat="1" applyFont="1" applyFill="1" applyProtection="1">
      <protection hidden="1"/>
    </xf>
    <xf numFmtId="9" fontId="21" fillId="2" borderId="0" xfId="0" quotePrefix="1" applyNumberFormat="1" applyFont="1" applyFill="1" applyProtection="1">
      <protection hidden="1"/>
    </xf>
    <xf numFmtId="0" fontId="22" fillId="2" borderId="0" xfId="0" quotePrefix="1" applyFont="1" applyFill="1" applyProtection="1">
      <protection hidden="1"/>
    </xf>
    <xf numFmtId="2" fontId="21" fillId="2" borderId="0" xfId="0" applyNumberFormat="1" applyFont="1" applyFill="1" applyProtection="1">
      <protection hidden="1"/>
    </xf>
    <xf numFmtId="0" fontId="21" fillId="2" borderId="0" xfId="0" applyFont="1" applyFill="1" applyAlignment="1" applyProtection="1">
      <protection hidden="1"/>
    </xf>
    <xf numFmtId="2" fontId="21" fillId="2" borderId="0" xfId="0" applyNumberFormat="1" applyFont="1" applyFill="1" applyBorder="1" applyProtection="1">
      <protection hidden="1"/>
    </xf>
    <xf numFmtId="0" fontId="21" fillId="2" borderId="0" xfId="0" applyFont="1" applyFill="1" applyAlignment="1" applyProtection="1">
      <alignment horizontal="center"/>
      <protection hidden="1"/>
    </xf>
    <xf numFmtId="2" fontId="21" fillId="2" borderId="0" xfId="0" applyNumberFormat="1" applyFont="1" applyFill="1" applyAlignment="1" applyProtection="1">
      <alignment horizontal="right"/>
      <protection hidden="1"/>
    </xf>
    <xf numFmtId="43" fontId="21" fillId="2" borderId="0" xfId="0" applyNumberFormat="1" applyFont="1" applyFill="1" applyAlignment="1" applyProtection="1">
      <alignment horizontal="right"/>
      <protection hidden="1"/>
    </xf>
    <xf numFmtId="1" fontId="21" fillId="2" borderId="0" xfId="0" applyNumberFormat="1" applyFont="1" applyFill="1" applyBorder="1" applyProtection="1">
      <protection hidden="1"/>
    </xf>
    <xf numFmtId="0" fontId="8" fillId="0" borderId="0" xfId="0" applyFont="1" applyAlignment="1" applyProtection="1">
      <alignment horizontal="center"/>
      <protection hidden="1"/>
    </xf>
    <xf numFmtId="3" fontId="9" fillId="0" borderId="0" xfId="0" applyNumberFormat="1" applyFont="1" applyBorder="1" applyAlignment="1" applyProtection="1">
      <alignment horizontal="center"/>
      <protection hidden="1"/>
    </xf>
    <xf numFmtId="43" fontId="9" fillId="0" borderId="0" xfId="1" applyNumberFormat="1" applyFont="1" applyProtection="1">
      <protection hidden="1"/>
    </xf>
    <xf numFmtId="0" fontId="7" fillId="0" borderId="0" xfId="0" applyFont="1" applyProtection="1">
      <protection hidden="1"/>
    </xf>
    <xf numFmtId="2" fontId="46" fillId="2" borderId="0" xfId="0" applyNumberFormat="1" applyFont="1" applyFill="1" applyBorder="1" applyAlignment="1" applyProtection="1">
      <alignment horizontal="center"/>
      <protection hidden="1"/>
    </xf>
    <xf numFmtId="173" fontId="46" fillId="2" borderId="0" xfId="0" applyNumberFormat="1" applyFont="1" applyFill="1" applyAlignment="1" applyProtection="1">
      <alignment horizontal="center"/>
      <protection hidden="1"/>
    </xf>
    <xf numFmtId="2" fontId="46" fillId="2" borderId="0" xfId="0" applyNumberFormat="1" applyFont="1" applyFill="1" applyAlignment="1" applyProtection="1">
      <alignment horizontal="center"/>
      <protection hidden="1"/>
    </xf>
    <xf numFmtId="0" fontId="13" fillId="0" borderId="0" xfId="0" applyFont="1" applyAlignment="1" applyProtection="1">
      <alignment horizontal="center"/>
      <protection hidden="1"/>
    </xf>
    <xf numFmtId="0" fontId="3" fillId="0" borderId="0" xfId="0" applyFont="1" applyFill="1" applyBorder="1" applyAlignment="1" applyProtection="1">
      <alignment horizontal="center"/>
      <protection hidden="1"/>
    </xf>
    <xf numFmtId="0" fontId="4" fillId="0" borderId="0" xfId="0" applyFont="1" applyFill="1" applyBorder="1" applyAlignment="1" applyProtection="1">
      <alignment horizontal="center"/>
      <protection hidden="1"/>
    </xf>
    <xf numFmtId="173" fontId="4" fillId="0" borderId="0" xfId="0" applyNumberFormat="1" applyFont="1" applyFill="1" applyBorder="1" applyAlignment="1" applyProtection="1">
      <alignment horizontal="center"/>
      <protection hidden="1"/>
    </xf>
    <xf numFmtId="1" fontId="4" fillId="0" borderId="0" xfId="0" applyNumberFormat="1" applyFont="1" applyFill="1" applyBorder="1" applyAlignment="1" applyProtection="1">
      <alignment horizontal="center"/>
      <protection hidden="1"/>
    </xf>
    <xf numFmtId="0" fontId="17" fillId="0" borderId="0" xfId="0" applyFont="1" applyAlignment="1" applyProtection="1">
      <alignment horizontal="center"/>
      <protection hidden="1"/>
    </xf>
    <xf numFmtId="0" fontId="4" fillId="0" borderId="0" xfId="0" applyFont="1" applyAlignment="1" applyProtection="1">
      <alignment horizontal="center"/>
      <protection hidden="1"/>
    </xf>
    <xf numFmtId="2" fontId="4" fillId="0" borderId="0" xfId="0" applyNumberFormat="1" applyFont="1" applyFill="1" applyBorder="1" applyAlignment="1" applyProtection="1">
      <alignment horizontal="center"/>
      <protection hidden="1"/>
    </xf>
    <xf numFmtId="0" fontId="64" fillId="2" borderId="0" xfId="0" applyFont="1" applyFill="1" applyBorder="1" applyAlignment="1" applyProtection="1">
      <alignment horizontal="center"/>
      <protection hidden="1"/>
    </xf>
    <xf numFmtId="0" fontId="13" fillId="0" borderId="0" xfId="0" applyFont="1" applyFill="1" applyBorder="1" applyAlignment="1" applyProtection="1">
      <alignment horizontal="center"/>
      <protection hidden="1"/>
    </xf>
    <xf numFmtId="173" fontId="13" fillId="0" borderId="0" xfId="0" applyNumberFormat="1" applyFont="1" applyFill="1" applyBorder="1" applyAlignment="1" applyProtection="1">
      <alignment horizontal="center"/>
      <protection hidden="1"/>
    </xf>
    <xf numFmtId="0" fontId="6" fillId="0" borderId="0" xfId="0" applyFont="1" applyFill="1" applyBorder="1" applyAlignment="1" applyProtection="1">
      <alignment horizontal="center"/>
      <protection hidden="1"/>
    </xf>
    <xf numFmtId="0" fontId="22" fillId="2" borderId="0" xfId="0" applyFont="1" applyFill="1" applyBorder="1" applyAlignment="1" applyProtection="1">
      <alignment horizontal="center"/>
      <protection hidden="1"/>
    </xf>
    <xf numFmtId="0" fontId="2" fillId="0" borderId="0" xfId="0" applyFont="1" applyFill="1" applyBorder="1" applyProtection="1">
      <protection hidden="1"/>
    </xf>
    <xf numFmtId="0" fontId="2" fillId="0" borderId="0" xfId="0" applyFont="1" applyFill="1" applyBorder="1" applyAlignment="1" applyProtection="1">
      <alignment horizontal="left"/>
      <protection hidden="1"/>
    </xf>
    <xf numFmtId="0" fontId="22" fillId="2" borderId="0" xfId="0" applyFont="1" applyFill="1" applyBorder="1" applyProtection="1">
      <protection hidden="1"/>
    </xf>
    <xf numFmtId="0" fontId="13" fillId="0" borderId="0" xfId="0" applyFont="1" applyFill="1" applyBorder="1" applyProtection="1">
      <protection hidden="1"/>
    </xf>
    <xf numFmtId="0" fontId="2" fillId="0" borderId="0" xfId="0" applyFont="1" applyFill="1" applyBorder="1" applyAlignment="1" applyProtection="1">
      <alignment horizontal="center"/>
      <protection hidden="1"/>
    </xf>
    <xf numFmtId="179" fontId="9" fillId="0" borderId="0" xfId="0" applyNumberFormat="1" applyFont="1" applyBorder="1" applyAlignment="1" applyProtection="1">
      <alignment horizontal="center"/>
      <protection hidden="1"/>
    </xf>
    <xf numFmtId="175" fontId="49" fillId="2" borderId="0" xfId="1" applyNumberFormat="1" applyFont="1" applyFill="1" applyProtection="1">
      <protection hidden="1"/>
    </xf>
    <xf numFmtId="186" fontId="9" fillId="0" borderId="0" xfId="2" applyNumberFormat="1" applyFont="1" applyAlignment="1" applyProtection="1">
      <alignment horizontal="center"/>
      <protection hidden="1"/>
    </xf>
    <xf numFmtId="2" fontId="8" fillId="0" borderId="0" xfId="0" applyNumberFormat="1" applyFont="1" applyAlignment="1" applyProtection="1">
      <alignment horizontal="center"/>
      <protection hidden="1"/>
    </xf>
    <xf numFmtId="0" fontId="13" fillId="7" borderId="2" xfId="0" applyFont="1" applyFill="1" applyBorder="1" applyProtection="1">
      <protection locked="0" hidden="1"/>
    </xf>
    <xf numFmtId="0" fontId="51" fillId="0" borderId="0" xfId="0" applyFont="1" applyProtection="1">
      <protection hidden="1"/>
    </xf>
    <xf numFmtId="0" fontId="49" fillId="0" borderId="0" xfId="0" applyFont="1" applyProtection="1">
      <protection hidden="1"/>
    </xf>
    <xf numFmtId="0" fontId="50" fillId="0" borderId="0" xfId="0" applyFont="1" applyProtection="1">
      <protection hidden="1"/>
    </xf>
    <xf numFmtId="0" fontId="57" fillId="3" borderId="0" xfId="0" applyFont="1" applyFill="1" applyProtection="1"/>
    <xf numFmtId="0" fontId="57" fillId="12" borderId="0" xfId="0" applyFont="1" applyFill="1" applyProtection="1"/>
    <xf numFmtId="0" fontId="57" fillId="12" borderId="0" xfId="0" applyFont="1" applyFill="1" applyAlignment="1" applyProtection="1">
      <alignment horizontal="center"/>
    </xf>
    <xf numFmtId="0" fontId="21" fillId="2" borderId="0" xfId="0" applyFont="1" applyFill="1" applyBorder="1" applyAlignment="1" applyProtection="1">
      <alignment horizontal="left"/>
      <protection hidden="1"/>
    </xf>
    <xf numFmtId="0" fontId="49" fillId="2" borderId="0" xfId="0" applyFont="1" applyFill="1" applyBorder="1" applyAlignment="1" applyProtection="1">
      <alignment horizontal="left"/>
      <protection hidden="1"/>
    </xf>
    <xf numFmtId="0" fontId="22" fillId="2" borderId="0" xfId="0" applyFont="1" applyFill="1" applyBorder="1" applyAlignment="1" applyProtection="1">
      <alignment horizontal="left"/>
      <protection hidden="1"/>
    </xf>
    <xf numFmtId="2" fontId="21" fillId="2" borderId="0" xfId="0" applyNumberFormat="1" applyFont="1" applyFill="1" applyBorder="1" applyAlignment="1" applyProtection="1">
      <alignment horizontal="right"/>
      <protection hidden="1"/>
    </xf>
    <xf numFmtId="2" fontId="22" fillId="2" borderId="0" xfId="0" applyNumberFormat="1" applyFont="1" applyFill="1" applyBorder="1" applyProtection="1">
      <protection hidden="1"/>
    </xf>
    <xf numFmtId="2" fontId="50" fillId="2" borderId="0" xfId="0" applyNumberFormat="1" applyFont="1" applyFill="1" applyBorder="1" applyProtection="1">
      <protection hidden="1"/>
    </xf>
    <xf numFmtId="0" fontId="21" fillId="2" borderId="0" xfId="0" applyFont="1" applyFill="1" applyBorder="1" applyProtection="1">
      <protection hidden="1"/>
    </xf>
    <xf numFmtId="2" fontId="46" fillId="2" borderId="0" xfId="0" applyNumberFormat="1" applyFont="1" applyFill="1" applyBorder="1" applyProtection="1">
      <protection hidden="1"/>
    </xf>
    <xf numFmtId="2" fontId="64" fillId="2" borderId="0" xfId="0" applyNumberFormat="1" applyFont="1" applyFill="1" applyBorder="1" applyProtection="1">
      <protection hidden="1"/>
    </xf>
    <xf numFmtId="43" fontId="21" fillId="2" borderId="0" xfId="0" applyNumberFormat="1" applyFont="1" applyFill="1" applyBorder="1" applyAlignment="1" applyProtection="1">
      <alignment horizontal="right"/>
      <protection hidden="1"/>
    </xf>
    <xf numFmtId="2" fontId="49" fillId="2" borderId="0" xfId="0" applyNumberFormat="1" applyFont="1" applyFill="1" applyBorder="1" applyProtection="1">
      <protection hidden="1"/>
    </xf>
    <xf numFmtId="1" fontId="8" fillId="3" borderId="0" xfId="0" applyNumberFormat="1" applyFont="1" applyFill="1" applyProtection="1">
      <protection hidden="1"/>
    </xf>
    <xf numFmtId="0" fontId="10" fillId="3" borderId="0" xfId="0" applyFont="1" applyFill="1" applyAlignment="1" applyProtection="1">
      <alignment horizontal="left"/>
      <protection hidden="1"/>
    </xf>
    <xf numFmtId="0" fontId="11" fillId="3" borderId="0" xfId="0" applyFont="1" applyFill="1" applyProtection="1">
      <protection hidden="1"/>
    </xf>
    <xf numFmtId="0" fontId="16" fillId="3" borderId="0" xfId="0" applyFont="1" applyFill="1" applyProtection="1">
      <protection hidden="1"/>
    </xf>
    <xf numFmtId="172" fontId="11" fillId="3" borderId="0" xfId="0" applyNumberFormat="1" applyFont="1" applyFill="1" applyProtection="1">
      <protection hidden="1"/>
    </xf>
    <xf numFmtId="0" fontId="3" fillId="3" borderId="2" xfId="0" applyFont="1" applyFill="1" applyBorder="1" applyProtection="1">
      <protection hidden="1"/>
    </xf>
    <xf numFmtId="0" fontId="5" fillId="3" borderId="2" xfId="0" applyFont="1" applyFill="1" applyBorder="1" applyProtection="1">
      <protection hidden="1"/>
    </xf>
    <xf numFmtId="0" fontId="3" fillId="3" borderId="30" xfId="0" applyFont="1" applyFill="1" applyBorder="1" applyProtection="1">
      <protection hidden="1"/>
    </xf>
    <xf numFmtId="0" fontId="8" fillId="3" borderId="2" xfId="0" applyFont="1" applyFill="1" applyBorder="1" applyProtection="1">
      <protection hidden="1"/>
    </xf>
    <xf numFmtId="0" fontId="2" fillId="3" borderId="2" xfId="0" applyFont="1" applyFill="1" applyBorder="1" applyProtection="1">
      <protection hidden="1"/>
    </xf>
    <xf numFmtId="2" fontId="2" fillId="3" borderId="2" xfId="0" applyNumberFormat="1" applyFont="1" applyFill="1" applyBorder="1" applyProtection="1">
      <protection hidden="1"/>
    </xf>
    <xf numFmtId="1" fontId="8" fillId="3" borderId="2" xfId="0" applyNumberFormat="1" applyFont="1" applyFill="1" applyBorder="1" applyProtection="1">
      <protection hidden="1"/>
    </xf>
    <xf numFmtId="0" fontId="8" fillId="3" borderId="63" xfId="0" applyFont="1" applyFill="1" applyBorder="1" applyProtection="1">
      <protection hidden="1"/>
    </xf>
    <xf numFmtId="0" fontId="2" fillId="3" borderId="63" xfId="0" applyFont="1" applyFill="1" applyBorder="1" applyProtection="1">
      <protection hidden="1"/>
    </xf>
    <xf numFmtId="1" fontId="3" fillId="3" borderId="2" xfId="0" applyNumberFormat="1" applyFont="1" applyFill="1" applyBorder="1" applyProtection="1">
      <protection hidden="1"/>
    </xf>
    <xf numFmtId="1" fontId="3" fillId="3" borderId="22" xfId="0" applyNumberFormat="1" applyFont="1" applyFill="1" applyBorder="1" applyProtection="1">
      <protection hidden="1"/>
    </xf>
    <xf numFmtId="0" fontId="2" fillId="3" borderId="30" xfId="0" applyFont="1" applyFill="1" applyBorder="1" applyProtection="1">
      <protection hidden="1"/>
    </xf>
    <xf numFmtId="0" fontId="5" fillId="3" borderId="2" xfId="0" applyFont="1" applyFill="1" applyBorder="1" applyAlignment="1" applyProtection="1">
      <alignment horizontal="left"/>
      <protection hidden="1"/>
    </xf>
    <xf numFmtId="1" fontId="5" fillId="3" borderId="2" xfId="0" applyNumberFormat="1" applyFont="1" applyFill="1" applyBorder="1" applyProtection="1">
      <protection hidden="1"/>
    </xf>
    <xf numFmtId="0" fontId="12" fillId="3" borderId="0" xfId="0" applyFont="1" applyFill="1" applyProtection="1">
      <protection hidden="1"/>
    </xf>
    <xf numFmtId="1" fontId="4" fillId="3" borderId="0" xfId="0" applyNumberFormat="1" applyFont="1" applyFill="1" applyProtection="1">
      <protection hidden="1"/>
    </xf>
    <xf numFmtId="0" fontId="8" fillId="3" borderId="2" xfId="0" applyFont="1" applyFill="1" applyBorder="1" applyAlignment="1" applyProtection="1">
      <alignment horizontal="right"/>
      <protection hidden="1"/>
    </xf>
    <xf numFmtId="2" fontId="8" fillId="3" borderId="2" xfId="0" applyNumberFormat="1" applyFont="1" applyFill="1" applyBorder="1" applyAlignment="1" applyProtection="1">
      <alignment horizontal="right"/>
      <protection hidden="1"/>
    </xf>
    <xf numFmtId="1" fontId="8" fillId="3" borderId="2" xfId="0" applyNumberFormat="1" applyFont="1" applyFill="1" applyBorder="1" applyAlignment="1" applyProtection="1">
      <alignment horizontal="right"/>
      <protection hidden="1"/>
    </xf>
    <xf numFmtId="2" fontId="9" fillId="3" borderId="30" xfId="0" applyNumberFormat="1" applyFont="1" applyFill="1" applyBorder="1" applyAlignment="1" applyProtection="1">
      <alignment horizontal="right"/>
      <protection hidden="1"/>
    </xf>
    <xf numFmtId="2" fontId="9" fillId="3" borderId="63" xfId="0" applyNumberFormat="1" applyFont="1" applyFill="1" applyBorder="1" applyAlignment="1" applyProtection="1">
      <alignment horizontal="right"/>
      <protection hidden="1"/>
    </xf>
    <xf numFmtId="43" fontId="9" fillId="3" borderId="63" xfId="0" applyNumberFormat="1" applyFont="1" applyFill="1" applyBorder="1" applyAlignment="1" applyProtection="1">
      <alignment horizontal="right"/>
      <protection hidden="1"/>
    </xf>
    <xf numFmtId="2" fontId="9" fillId="3" borderId="63" xfId="0" applyNumberFormat="1" applyFont="1" applyFill="1" applyBorder="1" applyProtection="1">
      <protection hidden="1"/>
    </xf>
    <xf numFmtId="2" fontId="9" fillId="3" borderId="0" xfId="0" applyNumberFormat="1" applyFont="1" applyFill="1" applyAlignment="1" applyProtection="1">
      <alignment horizontal="right"/>
      <protection hidden="1"/>
    </xf>
    <xf numFmtId="173" fontId="8" fillId="3" borderId="63" xfId="0" applyNumberFormat="1" applyFont="1" applyFill="1" applyBorder="1" applyProtection="1">
      <protection hidden="1"/>
    </xf>
    <xf numFmtId="43" fontId="9" fillId="3" borderId="0" xfId="0" applyNumberFormat="1" applyFont="1" applyFill="1" applyAlignment="1" applyProtection="1">
      <alignment horizontal="right"/>
      <protection hidden="1"/>
    </xf>
    <xf numFmtId="2" fontId="9" fillId="3" borderId="0" xfId="0" applyNumberFormat="1" applyFont="1" applyFill="1" applyBorder="1" applyProtection="1">
      <protection hidden="1"/>
    </xf>
    <xf numFmtId="182" fontId="8" fillId="3" borderId="2" xfId="0" applyNumberFormat="1" applyFont="1" applyFill="1" applyBorder="1" applyAlignment="1" applyProtection="1">
      <alignment horizontal="center"/>
      <protection hidden="1"/>
    </xf>
    <xf numFmtId="182" fontId="5" fillId="3" borderId="2" xfId="0" applyNumberFormat="1" applyFont="1" applyFill="1" applyBorder="1" applyAlignment="1" applyProtection="1">
      <alignment horizontal="center"/>
      <protection hidden="1"/>
    </xf>
    <xf numFmtId="1" fontId="5" fillId="3" borderId="22" xfId="0" applyNumberFormat="1" applyFont="1" applyFill="1" applyBorder="1" applyProtection="1">
      <protection hidden="1"/>
    </xf>
    <xf numFmtId="1" fontId="9" fillId="3" borderId="0" xfId="0" applyNumberFormat="1" applyFont="1" applyFill="1" applyProtection="1">
      <protection hidden="1"/>
    </xf>
    <xf numFmtId="182" fontId="5" fillId="3" borderId="0" xfId="0" applyNumberFormat="1" applyFont="1" applyFill="1" applyAlignment="1" applyProtection="1">
      <alignment horizontal="center"/>
      <protection hidden="1"/>
    </xf>
    <xf numFmtId="1" fontId="9" fillId="3" borderId="0" xfId="0" applyNumberFormat="1" applyFont="1" applyFill="1" applyBorder="1" applyProtection="1">
      <protection hidden="1"/>
    </xf>
    <xf numFmtId="1" fontId="5" fillId="3" borderId="0" xfId="0" applyNumberFormat="1" applyFont="1" applyFill="1" applyBorder="1" applyProtection="1">
      <protection hidden="1"/>
    </xf>
    <xf numFmtId="0" fontId="5" fillId="3" borderId="0" xfId="0" applyFont="1" applyFill="1" applyAlignment="1" applyProtection="1">
      <alignment horizontal="left"/>
      <protection hidden="1"/>
    </xf>
    <xf numFmtId="0" fontId="5" fillId="3" borderId="0" xfId="0" applyFont="1" applyFill="1" applyAlignment="1" applyProtection="1">
      <alignment horizontal="right"/>
      <protection hidden="1"/>
    </xf>
    <xf numFmtId="0" fontId="8" fillId="3" borderId="2" xfId="0" applyFont="1" applyFill="1" applyBorder="1" applyAlignment="1" applyProtection="1">
      <alignment horizontal="left"/>
      <protection hidden="1"/>
    </xf>
    <xf numFmtId="173" fontId="8" fillId="3" borderId="2" xfId="0" applyNumberFormat="1" applyFont="1" applyFill="1" applyBorder="1" applyAlignment="1" applyProtection="1">
      <alignment horizontal="right"/>
      <protection hidden="1"/>
    </xf>
    <xf numFmtId="1" fontId="5" fillId="3" borderId="30" xfId="0" applyNumberFormat="1" applyFont="1" applyFill="1" applyBorder="1" applyProtection="1">
      <protection hidden="1"/>
    </xf>
    <xf numFmtId="1" fontId="5" fillId="3" borderId="63" xfId="0" applyNumberFormat="1" applyFont="1" applyFill="1" applyBorder="1" applyProtection="1">
      <protection hidden="1"/>
    </xf>
    <xf numFmtId="1" fontId="9" fillId="3" borderId="2" xfId="0" applyNumberFormat="1" applyFont="1" applyFill="1" applyBorder="1" applyProtection="1">
      <protection hidden="1"/>
    </xf>
    <xf numFmtId="1" fontId="5" fillId="3" borderId="2" xfId="0" applyNumberFormat="1" applyFont="1" applyFill="1" applyBorder="1" applyAlignment="1" applyProtection="1">
      <alignment horizontal="center"/>
      <protection hidden="1"/>
    </xf>
    <xf numFmtId="1" fontId="5" fillId="3" borderId="2" xfId="0" applyNumberFormat="1" applyFont="1" applyFill="1" applyBorder="1" applyAlignment="1" applyProtection="1">
      <alignment horizontal="right"/>
      <protection hidden="1"/>
    </xf>
    <xf numFmtId="1" fontId="5" fillId="3" borderId="0" xfId="0" applyNumberFormat="1" applyFont="1" applyFill="1" applyBorder="1" applyAlignment="1" applyProtection="1">
      <alignment horizontal="center"/>
      <protection hidden="1"/>
    </xf>
    <xf numFmtId="1" fontId="5" fillId="3" borderId="0" xfId="0" applyNumberFormat="1" applyFont="1" applyFill="1" applyBorder="1" applyAlignment="1" applyProtection="1">
      <alignment horizontal="right"/>
      <protection hidden="1"/>
    </xf>
    <xf numFmtId="0" fontId="8" fillId="3" borderId="0" xfId="0" applyFont="1" applyFill="1" applyAlignment="1" applyProtection="1">
      <alignment horizontal="right"/>
      <protection hidden="1"/>
    </xf>
    <xf numFmtId="1" fontId="5" fillId="3" borderId="0" xfId="0" applyNumberFormat="1" applyFont="1" applyFill="1" applyAlignment="1" applyProtection="1">
      <alignment horizontal="right"/>
      <protection hidden="1"/>
    </xf>
    <xf numFmtId="1" fontId="8" fillId="3" borderId="0" xfId="0" applyNumberFormat="1" applyFont="1" applyFill="1" applyAlignment="1" applyProtection="1">
      <alignment horizontal="right"/>
      <protection hidden="1"/>
    </xf>
    <xf numFmtId="182" fontId="9" fillId="3" borderId="0" xfId="0" applyNumberFormat="1" applyFont="1" applyFill="1" applyAlignment="1" applyProtection="1">
      <alignment horizontal="center"/>
      <protection hidden="1"/>
    </xf>
    <xf numFmtId="1" fontId="10" fillId="3" borderId="0" xfId="0" applyNumberFormat="1" applyFont="1" applyFill="1" applyBorder="1" applyProtection="1">
      <protection hidden="1"/>
    </xf>
    <xf numFmtId="0" fontId="44" fillId="3" borderId="0" xfId="0" applyFont="1" applyFill="1" applyProtection="1"/>
    <xf numFmtId="0" fontId="84" fillId="3" borderId="0" xfId="0" applyFont="1" applyFill="1" applyProtection="1"/>
    <xf numFmtId="2" fontId="10" fillId="2" borderId="31" xfId="0" applyNumberFormat="1" applyFont="1" applyFill="1" applyBorder="1" applyAlignment="1" applyProtection="1">
      <alignment horizontal="left"/>
      <protection hidden="1"/>
    </xf>
    <xf numFmtId="0" fontId="0" fillId="2" borderId="40" xfId="0" applyFill="1" applyBorder="1" applyProtection="1">
      <protection hidden="1"/>
    </xf>
    <xf numFmtId="0" fontId="3" fillId="2" borderId="1" xfId="0" applyFont="1" applyFill="1" applyBorder="1" applyAlignment="1" applyProtection="1">
      <protection hidden="1"/>
    </xf>
    <xf numFmtId="0" fontId="57" fillId="3" borderId="0" xfId="0" applyFont="1" applyFill="1" applyProtection="1">
      <protection hidden="1"/>
    </xf>
    <xf numFmtId="0" fontId="0" fillId="0" borderId="31" xfId="0" applyBorder="1" applyProtection="1">
      <protection hidden="1"/>
    </xf>
    <xf numFmtId="173" fontId="10" fillId="0" borderId="63" xfId="0" applyNumberFormat="1" applyFont="1" applyBorder="1" applyAlignment="1" applyProtection="1">
      <alignment horizontal="center"/>
      <protection hidden="1"/>
    </xf>
    <xf numFmtId="0" fontId="0" fillId="2" borderId="1" xfId="0" applyFill="1" applyBorder="1" applyProtection="1">
      <protection hidden="1"/>
    </xf>
    <xf numFmtId="0" fontId="3" fillId="2" borderId="1" xfId="0" applyFont="1" applyFill="1" applyBorder="1" applyProtection="1">
      <protection hidden="1"/>
    </xf>
    <xf numFmtId="0" fontId="0" fillId="2" borderId="14" xfId="0" applyFill="1" applyBorder="1" applyProtection="1">
      <protection hidden="1"/>
    </xf>
    <xf numFmtId="0" fontId="0" fillId="2" borderId="0" xfId="0" applyFill="1" applyBorder="1" applyProtection="1">
      <protection hidden="1"/>
    </xf>
    <xf numFmtId="0" fontId="85" fillId="2" borderId="20" xfId="0" applyFont="1" applyFill="1" applyBorder="1" applyProtection="1">
      <protection hidden="1"/>
    </xf>
    <xf numFmtId="0" fontId="0" fillId="2" borderId="21" xfId="0" applyFill="1" applyBorder="1" applyProtection="1">
      <protection hidden="1"/>
    </xf>
    <xf numFmtId="0" fontId="3" fillId="2" borderId="32" xfId="0" applyFont="1" applyFill="1" applyBorder="1" applyProtection="1">
      <protection hidden="1"/>
    </xf>
    <xf numFmtId="0" fontId="86" fillId="3" borderId="0" xfId="0" applyFont="1" applyFill="1" applyProtection="1">
      <protection hidden="1"/>
    </xf>
    <xf numFmtId="1" fontId="86" fillId="3" borderId="0" xfId="0" applyNumberFormat="1" applyFont="1" applyFill="1" applyProtection="1">
      <protection hidden="1"/>
    </xf>
    <xf numFmtId="1" fontId="86" fillId="3" borderId="0" xfId="0" applyNumberFormat="1" applyFont="1" applyFill="1" applyBorder="1" applyProtection="1">
      <protection hidden="1"/>
    </xf>
    <xf numFmtId="3" fontId="54" fillId="3" borderId="0" xfId="0" applyNumberFormat="1" applyFont="1" applyFill="1" applyBorder="1" applyAlignment="1" applyProtection="1">
      <alignment horizontal="center"/>
      <protection hidden="1"/>
    </xf>
    <xf numFmtId="0" fontId="86" fillId="3" borderId="0" xfId="0" applyFont="1" applyFill="1" applyBorder="1" applyProtection="1">
      <protection hidden="1"/>
    </xf>
    <xf numFmtId="0" fontId="86" fillId="2" borderId="0" xfId="0" applyFont="1" applyFill="1" applyProtection="1">
      <protection hidden="1"/>
    </xf>
    <xf numFmtId="0" fontId="86" fillId="0" borderId="0" xfId="0" applyFont="1" applyProtection="1">
      <protection hidden="1"/>
    </xf>
    <xf numFmtId="1" fontId="10" fillId="3" borderId="0" xfId="0" applyNumberFormat="1" applyFont="1" applyFill="1" applyBorder="1" applyAlignment="1" applyProtection="1">
      <alignment horizontal="center"/>
      <protection hidden="1"/>
    </xf>
    <xf numFmtId="1" fontId="9" fillId="3" borderId="0" xfId="0" applyNumberFormat="1" applyFont="1" applyFill="1" applyBorder="1" applyAlignment="1" applyProtection="1">
      <alignment horizontal="center"/>
      <protection hidden="1"/>
    </xf>
    <xf numFmtId="2" fontId="9" fillId="3" borderId="0" xfId="0" applyNumberFormat="1" applyFont="1" applyFill="1" applyBorder="1" applyAlignment="1" applyProtection="1">
      <alignment horizontal="center"/>
      <protection hidden="1"/>
    </xf>
    <xf numFmtId="205" fontId="5" fillId="2" borderId="66" xfId="2" applyNumberFormat="1" applyFont="1" applyFill="1" applyBorder="1" applyAlignment="1" applyProtection="1">
      <alignment horizontal="center"/>
      <protection hidden="1"/>
    </xf>
    <xf numFmtId="0" fontId="2" fillId="2" borderId="25" xfId="0" applyFont="1" applyFill="1" applyBorder="1" applyAlignment="1"/>
    <xf numFmtId="0" fontId="2" fillId="2" borderId="20" xfId="0" applyFont="1" applyFill="1" applyBorder="1" applyAlignment="1"/>
    <xf numFmtId="0" fontId="2" fillId="2" borderId="26" xfId="0" applyFont="1" applyFill="1" applyBorder="1" applyAlignment="1"/>
    <xf numFmtId="0" fontId="2" fillId="2" borderId="26" xfId="0" applyFont="1" applyFill="1" applyBorder="1" applyProtection="1">
      <protection hidden="1"/>
    </xf>
    <xf numFmtId="0" fontId="2" fillId="2" borderId="27" xfId="0" applyFont="1" applyFill="1" applyBorder="1" applyProtection="1">
      <protection hidden="1"/>
    </xf>
    <xf numFmtId="0" fontId="2" fillId="2" borderId="21" xfId="0" applyFont="1" applyFill="1" applyBorder="1" applyAlignment="1"/>
    <xf numFmtId="0" fontId="2" fillId="2" borderId="32" xfId="0" applyFont="1" applyFill="1" applyBorder="1" applyProtection="1">
      <protection hidden="1"/>
    </xf>
    <xf numFmtId="0" fontId="52" fillId="3" borderId="0" xfId="0" applyFont="1" applyFill="1" applyProtection="1"/>
    <xf numFmtId="0" fontId="5" fillId="2" borderId="16" xfId="0" applyFont="1" applyFill="1" applyBorder="1" applyAlignment="1" applyProtection="1">
      <alignment horizontal="center"/>
    </xf>
    <xf numFmtId="0" fontId="5" fillId="2" borderId="17" xfId="0" applyFont="1" applyFill="1" applyBorder="1" applyAlignment="1" applyProtection="1">
      <alignment horizontal="center"/>
    </xf>
    <xf numFmtId="0" fontId="5" fillId="2" borderId="18" xfId="0" applyFont="1" applyFill="1" applyBorder="1" applyAlignment="1" applyProtection="1">
      <alignment horizontal="center"/>
    </xf>
    <xf numFmtId="0" fontId="43" fillId="7" borderId="5" xfId="0" applyFont="1" applyFill="1" applyBorder="1" applyAlignment="1" applyProtection="1">
      <alignment horizontal="center"/>
      <protection locked="0"/>
    </xf>
    <xf numFmtId="0" fontId="43" fillId="7" borderId="6" xfId="0" applyFont="1" applyFill="1" applyBorder="1" applyAlignment="1" applyProtection="1">
      <alignment horizontal="center"/>
      <protection locked="0"/>
    </xf>
    <xf numFmtId="0" fontId="43" fillId="7" borderId="15" xfId="0" applyFont="1" applyFill="1" applyBorder="1" applyAlignment="1" applyProtection="1">
      <alignment horizontal="center"/>
      <protection locked="0"/>
    </xf>
    <xf numFmtId="0" fontId="43" fillId="7" borderId="11" xfId="0" applyFont="1" applyFill="1" applyBorder="1" applyAlignment="1" applyProtection="1">
      <alignment horizontal="center"/>
      <protection locked="0"/>
    </xf>
    <xf numFmtId="0" fontId="43" fillId="7" borderId="7" xfId="0" applyFont="1" applyFill="1" applyBorder="1" applyAlignment="1" applyProtection="1">
      <alignment horizontal="center"/>
      <protection locked="0"/>
    </xf>
    <xf numFmtId="0" fontId="43" fillId="7" borderId="8" xfId="0" applyFont="1" applyFill="1" applyBorder="1" applyAlignment="1" applyProtection="1">
      <alignment horizontal="center"/>
      <protection locked="0"/>
    </xf>
    <xf numFmtId="0" fontId="8" fillId="2" borderId="4" xfId="0" applyFont="1" applyFill="1" applyBorder="1" applyAlignment="1" applyProtection="1">
      <alignment horizontal="left"/>
      <protection hidden="1"/>
    </xf>
    <xf numFmtId="0" fontId="8" fillId="2" borderId="2" xfId="0" applyFont="1" applyFill="1" applyBorder="1" applyAlignment="1" applyProtection="1">
      <alignment horizontal="left"/>
      <protection hidden="1"/>
    </xf>
    <xf numFmtId="0" fontId="8" fillId="2" borderId="3" xfId="0" applyFont="1" applyFill="1" applyBorder="1" applyAlignment="1" applyProtection="1">
      <alignment horizontal="left"/>
      <protection hidden="1"/>
    </xf>
    <xf numFmtId="0" fontId="8" fillId="2" borderId="37" xfId="0" applyFont="1" applyFill="1" applyBorder="1" applyAlignment="1" applyProtection="1">
      <alignment horizontal="left"/>
      <protection hidden="1"/>
    </xf>
    <xf numFmtId="0" fontId="8" fillId="2" borderId="45" xfId="0" applyFont="1" applyFill="1" applyBorder="1" applyAlignment="1" applyProtection="1">
      <alignment horizontal="left"/>
      <protection hidden="1"/>
    </xf>
    <xf numFmtId="0" fontId="8" fillId="2" borderId="34" xfId="0" applyFont="1" applyFill="1" applyBorder="1" applyAlignment="1" applyProtection="1">
      <alignment horizontal="left"/>
      <protection hidden="1"/>
    </xf>
    <xf numFmtId="0" fontId="5" fillId="2" borderId="11" xfId="0" applyFont="1" applyFill="1" applyBorder="1" applyAlignment="1" applyProtection="1">
      <alignment horizontal="center"/>
    </xf>
    <xf numFmtId="0" fontId="5" fillId="2" borderId="7" xfId="0" applyFont="1" applyFill="1" applyBorder="1" applyAlignment="1" applyProtection="1">
      <alignment horizontal="center"/>
    </xf>
    <xf numFmtId="0" fontId="5" fillId="2" borderId="8" xfId="0" applyFont="1" applyFill="1" applyBorder="1" applyAlignment="1" applyProtection="1">
      <alignment horizontal="center"/>
    </xf>
    <xf numFmtId="0" fontId="5" fillId="2" borderId="38" xfId="0" applyFont="1" applyFill="1" applyBorder="1" applyAlignment="1" applyProtection="1">
      <alignment horizontal="center"/>
    </xf>
    <xf numFmtId="0" fontId="5" fillId="2" borderId="39" xfId="0" applyFont="1" applyFill="1" applyBorder="1" applyAlignment="1" applyProtection="1">
      <alignment horizontal="center"/>
    </xf>
    <xf numFmtId="0" fontId="5" fillId="2" borderId="53" xfId="0" applyFont="1" applyFill="1" applyBorder="1" applyAlignment="1" applyProtection="1">
      <alignment horizontal="center"/>
    </xf>
    <xf numFmtId="0" fontId="74" fillId="6" borderId="0" xfId="0" applyFont="1" applyFill="1" applyAlignment="1" applyProtection="1">
      <alignment horizontal="center"/>
    </xf>
    <xf numFmtId="0" fontId="32" fillId="6" borderId="0" xfId="0" applyFont="1" applyFill="1" applyAlignment="1" applyProtection="1">
      <alignment horizontal="center"/>
    </xf>
    <xf numFmtId="0" fontId="47" fillId="4" borderId="0" xfId="0" applyFont="1" applyFill="1" applyBorder="1" applyAlignment="1" applyProtection="1">
      <alignment horizontal="center"/>
    </xf>
    <xf numFmtId="0" fontId="60" fillId="0" borderId="38" xfId="0" applyFont="1" applyBorder="1" applyAlignment="1" applyProtection="1">
      <alignment horizontal="left"/>
    </xf>
    <xf numFmtId="0" fontId="60" fillId="0" borderId="39" xfId="0" applyFont="1" applyBorder="1" applyAlignment="1" applyProtection="1">
      <alignment horizontal="left"/>
    </xf>
    <xf numFmtId="0" fontId="60" fillId="0" borderId="53" xfId="0" applyFont="1" applyBorder="1" applyAlignment="1" applyProtection="1">
      <alignment horizontal="left"/>
    </xf>
    <xf numFmtId="0" fontId="10" fillId="3" borderId="0" xfId="0" applyFont="1" applyFill="1" applyBorder="1" applyAlignment="1" applyProtection="1">
      <alignment horizontal="center"/>
    </xf>
    <xf numFmtId="0" fontId="70" fillId="2" borderId="0" xfId="0" applyFont="1" applyFill="1" applyAlignment="1" applyProtection="1">
      <alignment horizontal="center"/>
    </xf>
    <xf numFmtId="0" fontId="36" fillId="3" borderId="0" xfId="0" applyFont="1" applyFill="1" applyAlignment="1" applyProtection="1">
      <alignment horizontal="center"/>
    </xf>
    <xf numFmtId="0" fontId="25" fillId="3" borderId="0" xfId="0" applyFont="1" applyFill="1" applyBorder="1" applyAlignment="1" applyProtection="1">
      <alignment horizontal="center" wrapText="1"/>
    </xf>
    <xf numFmtId="0" fontId="48" fillId="4" borderId="25" xfId="0" applyFont="1" applyFill="1" applyBorder="1" applyAlignment="1" applyProtection="1">
      <alignment horizontal="center"/>
      <protection hidden="1"/>
    </xf>
    <xf numFmtId="0" fontId="48" fillId="4" borderId="26" xfId="0" applyFont="1" applyFill="1" applyBorder="1" applyAlignment="1" applyProtection="1">
      <alignment horizontal="center"/>
      <protection hidden="1"/>
    </xf>
    <xf numFmtId="0" fontId="48" fillId="4" borderId="27" xfId="0" applyFont="1" applyFill="1" applyBorder="1" applyAlignment="1" applyProtection="1">
      <alignment horizontal="center"/>
      <protection hidden="1"/>
    </xf>
    <xf numFmtId="173" fontId="9" fillId="0" borderId="26" xfId="0" applyNumberFormat="1" applyFont="1" applyBorder="1" applyAlignment="1" applyProtection="1">
      <alignment horizontal="center"/>
      <protection hidden="1"/>
    </xf>
    <xf numFmtId="173" fontId="9" fillId="0" borderId="68" xfId="0" applyNumberFormat="1" applyFont="1" applyBorder="1" applyAlignment="1" applyProtection="1">
      <alignment horizontal="center"/>
      <protection hidden="1"/>
    </xf>
    <xf numFmtId="1" fontId="9" fillId="0" borderId="7" xfId="0" applyNumberFormat="1" applyFont="1" applyBorder="1" applyAlignment="1" applyProtection="1">
      <alignment horizontal="center"/>
      <protection hidden="1"/>
    </xf>
    <xf numFmtId="1" fontId="9" fillId="0" borderId="8" xfId="0" applyNumberFormat="1" applyFont="1" applyBorder="1" applyAlignment="1" applyProtection="1">
      <alignment horizontal="center"/>
      <protection hidden="1"/>
    </xf>
    <xf numFmtId="44" fontId="5" fillId="3" borderId="0" xfId="2" applyFont="1" applyFill="1" applyBorder="1" applyAlignment="1" applyProtection="1">
      <alignment horizontal="left"/>
      <protection hidden="1"/>
    </xf>
    <xf numFmtId="44" fontId="5" fillId="3" borderId="10" xfId="2" applyFont="1" applyFill="1" applyBorder="1" applyAlignment="1" applyProtection="1">
      <alignment horizontal="left"/>
      <protection hidden="1"/>
    </xf>
    <xf numFmtId="0" fontId="61" fillId="4" borderId="0" xfId="0" applyFont="1" applyFill="1" applyBorder="1" applyAlignment="1" applyProtection="1">
      <alignment horizontal="center"/>
      <protection hidden="1"/>
    </xf>
    <xf numFmtId="0" fontId="21" fillId="6" borderId="20" xfId="0" applyFont="1" applyFill="1" applyBorder="1" applyAlignment="1" applyProtection="1">
      <alignment horizontal="center"/>
      <protection hidden="1"/>
    </xf>
    <xf numFmtId="0" fontId="21" fillId="6" borderId="21" xfId="0" applyFont="1" applyFill="1" applyBorder="1" applyAlignment="1" applyProtection="1">
      <alignment horizontal="center"/>
      <protection hidden="1"/>
    </xf>
    <xf numFmtId="0" fontId="74" fillId="6" borderId="0" xfId="0" applyFont="1" applyFill="1" applyAlignment="1" applyProtection="1">
      <alignment horizontal="center"/>
      <protection hidden="1"/>
    </xf>
    <xf numFmtId="0" fontId="32" fillId="6" borderId="0" xfId="0" applyFont="1" applyFill="1" applyAlignment="1" applyProtection="1">
      <alignment horizontal="center"/>
      <protection hidden="1"/>
    </xf>
    <xf numFmtId="0" fontId="47" fillId="4" borderId="25" xfId="0" applyFont="1" applyFill="1" applyBorder="1" applyAlignment="1" applyProtection="1">
      <alignment horizontal="center"/>
      <protection hidden="1"/>
    </xf>
    <xf numFmtId="0" fontId="47" fillId="4" borderId="26" xfId="0" applyFont="1" applyFill="1" applyBorder="1" applyAlignment="1" applyProtection="1">
      <alignment horizontal="center"/>
      <protection hidden="1"/>
    </xf>
    <xf numFmtId="0" fontId="48" fillId="4" borderId="5" xfId="0" applyFont="1" applyFill="1" applyBorder="1" applyAlignment="1" applyProtection="1">
      <alignment horizontal="center"/>
      <protection hidden="1"/>
    </xf>
    <xf numFmtId="0" fontId="48" fillId="4" borderId="6" xfId="0" applyFont="1" applyFill="1" applyBorder="1" applyAlignment="1" applyProtection="1">
      <alignment horizontal="center"/>
      <protection hidden="1"/>
    </xf>
    <xf numFmtId="0" fontId="48" fillId="4" borderId="15" xfId="0" applyFont="1" applyFill="1" applyBorder="1" applyAlignment="1" applyProtection="1">
      <alignment horizontal="center"/>
      <protection hidden="1"/>
    </xf>
    <xf numFmtId="0" fontId="5" fillId="3" borderId="11" xfId="0" applyFont="1" applyFill="1" applyBorder="1" applyAlignment="1" applyProtection="1">
      <alignment horizontal="center"/>
      <protection hidden="1"/>
    </xf>
    <xf numFmtId="0" fontId="5" fillId="3" borderId="7" xfId="0" applyFont="1" applyFill="1" applyBorder="1" applyAlignment="1" applyProtection="1">
      <alignment horizontal="center"/>
      <protection hidden="1"/>
    </xf>
    <xf numFmtId="0" fontId="5" fillId="3" borderId="8" xfId="0" applyFont="1" applyFill="1" applyBorder="1" applyAlignment="1" applyProtection="1">
      <alignment horizontal="center"/>
      <protection hidden="1"/>
    </xf>
    <xf numFmtId="0" fontId="72" fillId="6" borderId="0" xfId="0" applyFont="1" applyFill="1" applyAlignment="1" applyProtection="1">
      <alignment horizontal="center"/>
      <protection hidden="1"/>
    </xf>
    <xf numFmtId="0" fontId="28" fillId="6" borderId="0" xfId="0" applyFont="1" applyFill="1" applyAlignment="1" applyProtection="1">
      <alignment horizontal="center"/>
      <protection hidden="1"/>
    </xf>
    <xf numFmtId="0" fontId="10" fillId="3" borderId="0" xfId="0" applyFont="1" applyFill="1" applyBorder="1" applyAlignment="1" applyProtection="1">
      <alignment horizontal="left"/>
      <protection hidden="1"/>
    </xf>
    <xf numFmtId="0" fontId="10" fillId="3" borderId="19" xfId="0" applyFont="1" applyFill="1" applyBorder="1" applyAlignment="1" applyProtection="1">
      <alignment horizontal="left"/>
      <protection hidden="1"/>
    </xf>
    <xf numFmtId="0" fontId="2" fillId="7" borderId="31" xfId="0" applyFont="1" applyFill="1" applyBorder="1" applyAlignment="1" applyProtection="1">
      <alignment horizontal="left"/>
      <protection locked="0" hidden="1"/>
    </xf>
    <xf numFmtId="0" fontId="2" fillId="7" borderId="40" xfId="0" applyFont="1" applyFill="1" applyBorder="1" applyAlignment="1" applyProtection="1">
      <alignment horizontal="left"/>
      <protection locked="0" hidden="1"/>
    </xf>
    <xf numFmtId="0" fontId="2" fillId="7" borderId="1" xfId="0" applyFont="1" applyFill="1" applyBorder="1" applyAlignment="1" applyProtection="1">
      <alignment horizontal="left"/>
      <protection locked="0" hidden="1"/>
    </xf>
    <xf numFmtId="0" fontId="31" fillId="12" borderId="45" xfId="0" applyFont="1" applyFill="1" applyBorder="1" applyAlignment="1" applyProtection="1">
      <alignment horizontal="center"/>
      <protection hidden="1"/>
    </xf>
    <xf numFmtId="0" fontId="31" fillId="12" borderId="34" xfId="0" applyFont="1" applyFill="1" applyBorder="1" applyAlignment="1" applyProtection="1">
      <alignment horizontal="center"/>
      <protection hidden="1"/>
    </xf>
    <xf numFmtId="175" fontId="48" fillId="4" borderId="0" xfId="1" applyNumberFormat="1" applyFont="1" applyFill="1" applyBorder="1" applyAlignment="1" applyProtection="1">
      <alignment horizontal="center"/>
      <protection hidden="1"/>
    </xf>
    <xf numFmtId="175" fontId="48" fillId="4" borderId="10" xfId="1" applyNumberFormat="1" applyFont="1" applyFill="1" applyBorder="1" applyAlignment="1" applyProtection="1">
      <alignment horizontal="center"/>
      <protection hidden="1"/>
    </xf>
    <xf numFmtId="0" fontId="25" fillId="0" borderId="2" xfId="0" applyFont="1" applyBorder="1" applyAlignment="1" applyProtection="1">
      <alignment horizontal="center"/>
      <protection hidden="1"/>
    </xf>
    <xf numFmtId="0" fontId="25" fillId="0" borderId="34" xfId="0" applyFont="1" applyBorder="1" applyAlignment="1" applyProtection="1">
      <alignment horizontal="center"/>
      <protection hidden="1"/>
    </xf>
    <xf numFmtId="0" fontId="32" fillId="6" borderId="7" xfId="0" applyFont="1" applyFill="1" applyBorder="1" applyAlignment="1" applyProtection="1">
      <alignment horizontal="center"/>
      <protection hidden="1"/>
    </xf>
    <xf numFmtId="0" fontId="25" fillId="0" borderId="5" xfId="0" applyFont="1" applyBorder="1" applyAlignment="1" applyProtection="1">
      <alignment horizontal="center"/>
      <protection hidden="1"/>
    </xf>
    <xf numFmtId="0" fontId="25" fillId="0" borderId="6" xfId="0" applyFont="1" applyBorder="1" applyAlignment="1" applyProtection="1">
      <alignment horizontal="center"/>
      <protection hidden="1"/>
    </xf>
    <xf numFmtId="0" fontId="25" fillId="0" borderId="15" xfId="0" applyFont="1" applyBorder="1" applyAlignment="1" applyProtection="1">
      <alignment horizontal="center"/>
      <protection hidden="1"/>
    </xf>
    <xf numFmtId="0" fontId="25" fillId="0" borderId="11" xfId="0" applyFont="1" applyBorder="1" applyAlignment="1" applyProtection="1">
      <alignment horizontal="center"/>
      <protection hidden="1"/>
    </xf>
    <xf numFmtId="0" fontId="25" fillId="0" borderId="7" xfId="0" applyFont="1" applyBorder="1" applyAlignment="1" applyProtection="1">
      <alignment horizontal="center"/>
      <protection hidden="1"/>
    </xf>
    <xf numFmtId="0" fontId="25" fillId="0" borderId="8" xfId="0" applyFont="1" applyBorder="1" applyAlignment="1" applyProtection="1">
      <alignment horizontal="center"/>
      <protection hidden="1"/>
    </xf>
    <xf numFmtId="0" fontId="25" fillId="9" borderId="25" xfId="0" applyFont="1" applyFill="1" applyBorder="1" applyAlignment="1" applyProtection="1">
      <alignment horizontal="center"/>
      <protection hidden="1"/>
    </xf>
    <xf numFmtId="0" fontId="25" fillId="9" borderId="26" xfId="0" applyFont="1" applyFill="1" applyBorder="1" applyAlignment="1" applyProtection="1">
      <alignment horizontal="center"/>
      <protection hidden="1"/>
    </xf>
    <xf numFmtId="0" fontId="25" fillId="9" borderId="68" xfId="0" applyFont="1" applyFill="1" applyBorder="1" applyAlignment="1" applyProtection="1">
      <alignment horizontal="center"/>
      <protection hidden="1"/>
    </xf>
    <xf numFmtId="0" fontId="25" fillId="0" borderId="50" xfId="0" applyFont="1" applyBorder="1" applyAlignment="1" applyProtection="1">
      <alignment horizontal="center"/>
      <protection hidden="1"/>
    </xf>
    <xf numFmtId="0" fontId="25" fillId="0" borderId="49" xfId="0" applyFont="1" applyBorder="1" applyAlignment="1" applyProtection="1">
      <alignment horizontal="center"/>
      <protection hidden="1"/>
    </xf>
    <xf numFmtId="0" fontId="13" fillId="3" borderId="14" xfId="0" applyFont="1" applyFill="1" applyBorder="1" applyAlignment="1" applyProtection="1">
      <alignment horizontal="center"/>
      <protection hidden="1"/>
    </xf>
    <xf numFmtId="0" fontId="13" fillId="3" borderId="0" xfId="0" applyFont="1" applyFill="1" applyBorder="1" applyAlignment="1" applyProtection="1">
      <alignment horizontal="center"/>
      <protection hidden="1"/>
    </xf>
    <xf numFmtId="0" fontId="5" fillId="2" borderId="54" xfId="0" applyFont="1" applyFill="1" applyBorder="1" applyAlignment="1" applyProtection="1">
      <alignment horizontal="left"/>
      <protection hidden="1"/>
    </xf>
    <xf numFmtId="0" fontId="5" fillId="2" borderId="1" xfId="0" applyFont="1" applyFill="1" applyBorder="1" applyAlignment="1" applyProtection="1">
      <alignment horizontal="left"/>
      <protection hidden="1"/>
    </xf>
    <xf numFmtId="0" fontId="5" fillId="2" borderId="69" xfId="0" applyFont="1" applyFill="1" applyBorder="1" applyAlignment="1" applyProtection="1">
      <alignment horizontal="left"/>
      <protection hidden="1"/>
    </xf>
    <xf numFmtId="0" fontId="5" fillId="2" borderId="35" xfId="0" applyFont="1" applyFill="1" applyBorder="1" applyAlignment="1" applyProtection="1">
      <alignment horizontal="left"/>
      <protection hidden="1"/>
    </xf>
    <xf numFmtId="0" fontId="25" fillId="0" borderId="16" xfId="0" applyFont="1" applyBorder="1" applyAlignment="1" applyProtection="1">
      <alignment horizontal="center"/>
      <protection hidden="1"/>
    </xf>
    <xf numFmtId="0" fontId="25" fillId="0" borderId="17" xfId="0" applyFont="1" applyBorder="1" applyAlignment="1" applyProtection="1">
      <alignment horizontal="center"/>
      <protection hidden="1"/>
    </xf>
    <xf numFmtId="0" fontId="25" fillId="0" borderId="18" xfId="0" applyFont="1" applyBorder="1" applyAlignment="1" applyProtection="1">
      <alignment horizontal="center"/>
      <protection hidden="1"/>
    </xf>
    <xf numFmtId="0" fontId="34" fillId="3" borderId="16" xfId="0" applyFont="1" applyFill="1" applyBorder="1" applyAlignment="1" applyProtection="1">
      <alignment horizontal="center"/>
    </xf>
    <xf numFmtId="0" fontId="34" fillId="3" borderId="17" xfId="0" applyFont="1" applyFill="1" applyBorder="1" applyAlignment="1" applyProtection="1">
      <alignment horizontal="center"/>
    </xf>
    <xf numFmtId="0" fontId="34" fillId="3" borderId="18" xfId="0" applyFont="1" applyFill="1" applyBorder="1" applyAlignment="1" applyProtection="1">
      <alignment horizontal="center"/>
    </xf>
    <xf numFmtId="2" fontId="46" fillId="11" borderId="31" xfId="0" applyNumberFormat="1" applyFont="1" applyFill="1" applyBorder="1" applyAlignment="1" applyProtection="1">
      <alignment horizontal="center"/>
      <protection hidden="1"/>
    </xf>
    <xf numFmtId="2" fontId="46" fillId="11" borderId="1" xfId="0" applyNumberFormat="1" applyFont="1" applyFill="1" applyBorder="1" applyAlignment="1" applyProtection="1">
      <alignment horizontal="center"/>
      <protection hidden="1"/>
    </xf>
    <xf numFmtId="0" fontId="5" fillId="3" borderId="0" xfId="0" applyFont="1" applyFill="1" applyAlignment="1" applyProtection="1">
      <alignment horizontal="right"/>
      <protection hidden="1"/>
    </xf>
    <xf numFmtId="0" fontId="4" fillId="3" borderId="26" xfId="0" applyFont="1" applyFill="1" applyBorder="1" applyAlignment="1" applyProtection="1">
      <alignment horizontal="center"/>
      <protection hidden="1"/>
    </xf>
    <xf numFmtId="0" fontId="10" fillId="3" borderId="0" xfId="0" applyFont="1" applyFill="1" applyAlignment="1" applyProtection="1">
      <alignment horizontal="center"/>
      <protection hidden="1"/>
    </xf>
    <xf numFmtId="0" fontId="5" fillId="2" borderId="31" xfId="0" applyFont="1" applyFill="1" applyBorder="1" applyAlignment="1">
      <alignment horizontal="center"/>
    </xf>
    <xf numFmtId="0" fontId="5" fillId="2" borderId="1" xfId="0" applyFont="1" applyFill="1" applyBorder="1" applyAlignment="1">
      <alignment horizontal="center"/>
    </xf>
    <xf numFmtId="0" fontId="31" fillId="2" borderId="5" xfId="0" applyFont="1" applyFill="1" applyBorder="1" applyAlignment="1" applyProtection="1">
      <alignment horizontal="center"/>
      <protection hidden="1"/>
    </xf>
    <xf numFmtId="0" fontId="31" fillId="2" borderId="6" xfId="0" applyFont="1" applyFill="1" applyBorder="1" applyAlignment="1" applyProtection="1">
      <alignment horizontal="center"/>
      <protection hidden="1"/>
    </xf>
    <xf numFmtId="0" fontId="31" fillId="2" borderId="15" xfId="0" applyFont="1" applyFill="1" applyBorder="1" applyAlignment="1" applyProtection="1">
      <alignment horizontal="center"/>
      <protection hidden="1"/>
    </xf>
    <xf numFmtId="0" fontId="31" fillId="2" borderId="25" xfId="0" applyFont="1" applyFill="1" applyBorder="1" applyAlignment="1" applyProtection="1">
      <alignment horizontal="center"/>
      <protection hidden="1"/>
    </xf>
    <xf numFmtId="0" fontId="31" fillId="2" borderId="26" xfId="0" applyFont="1" applyFill="1" applyBorder="1" applyAlignment="1" applyProtection="1">
      <alignment horizontal="center"/>
      <protection hidden="1"/>
    </xf>
    <xf numFmtId="0" fontId="31" fillId="2" borderId="68" xfId="0" applyFont="1" applyFill="1" applyBorder="1" applyAlignment="1" applyProtection="1">
      <alignment horizontal="center"/>
      <protection hidden="1"/>
    </xf>
    <xf numFmtId="0" fontId="5" fillId="2" borderId="0" xfId="0" applyFont="1" applyFill="1" applyAlignment="1">
      <alignment horizontal="center"/>
    </xf>
    <xf numFmtId="0" fontId="43" fillId="2" borderId="31" xfId="0" applyFont="1" applyFill="1" applyBorder="1" applyAlignment="1">
      <alignment horizontal="left"/>
    </xf>
    <xf numFmtId="0" fontId="43" fillId="2" borderId="1" xfId="0" applyFont="1" applyFill="1" applyBorder="1" applyAlignment="1">
      <alignment horizontal="left"/>
    </xf>
    <xf numFmtId="0" fontId="8" fillId="2" borderId="2" xfId="0" applyFont="1" applyFill="1" applyBorder="1" applyAlignment="1">
      <alignment horizontal="left"/>
    </xf>
    <xf numFmtId="0" fontId="8" fillId="2" borderId="31" xfId="0" applyFont="1" applyFill="1" applyBorder="1" applyAlignment="1">
      <alignment horizontal="left"/>
    </xf>
    <xf numFmtId="0" fontId="8" fillId="2" borderId="1" xfId="0" applyFont="1" applyFill="1" applyBorder="1" applyAlignment="1">
      <alignment horizontal="left"/>
    </xf>
    <xf numFmtId="0" fontId="5" fillId="2" borderId="38" xfId="0" applyFont="1" applyFill="1" applyBorder="1" applyAlignment="1"/>
    <xf numFmtId="0" fontId="5" fillId="2" borderId="39" xfId="0" applyFont="1" applyFill="1" applyBorder="1" applyAlignment="1"/>
    <xf numFmtId="0" fontId="5" fillId="2" borderId="53" xfId="0" applyFont="1" applyFill="1" applyBorder="1" applyAlignment="1"/>
    <xf numFmtId="0" fontId="5" fillId="2" borderId="31" xfId="0" applyFont="1" applyFill="1" applyBorder="1" applyAlignment="1">
      <alignment horizontal="left"/>
    </xf>
    <xf numFmtId="0" fontId="5" fillId="2" borderId="1" xfId="0" applyFont="1" applyFill="1" applyBorder="1" applyAlignment="1">
      <alignment horizontal="left"/>
    </xf>
    <xf numFmtId="0" fontId="43" fillId="2" borderId="2" xfId="0" applyFont="1" applyFill="1" applyBorder="1" applyAlignment="1">
      <alignment horizontal="left"/>
    </xf>
    <xf numFmtId="0" fontId="5" fillId="2" borderId="38" xfId="0" applyFont="1" applyFill="1" applyBorder="1" applyAlignment="1">
      <alignment horizontal="left"/>
    </xf>
    <xf numFmtId="0" fontId="5" fillId="2" borderId="39" xfId="0" applyFont="1" applyFill="1" applyBorder="1" applyAlignment="1">
      <alignment horizontal="left"/>
    </xf>
    <xf numFmtId="0" fontId="5" fillId="2" borderId="53" xfId="0" applyFont="1" applyFill="1" applyBorder="1" applyAlignment="1">
      <alignment horizontal="left"/>
    </xf>
    <xf numFmtId="0" fontId="44" fillId="2" borderId="4" xfId="0" applyFont="1" applyFill="1" applyBorder="1" applyAlignment="1">
      <alignment horizontal="left"/>
    </xf>
    <xf numFmtId="0" fontId="44" fillId="2" borderId="26" xfId="0" applyFont="1" applyFill="1" applyBorder="1" applyAlignment="1">
      <alignment horizontal="center"/>
    </xf>
    <xf numFmtId="0" fontId="44" fillId="2" borderId="68" xfId="0" applyFont="1" applyFill="1" applyBorder="1" applyAlignment="1">
      <alignment horizontal="center"/>
    </xf>
    <xf numFmtId="0" fontId="44" fillId="2" borderId="21" xfId="0" applyFont="1" applyFill="1" applyBorder="1" applyAlignment="1">
      <alignment horizontal="center"/>
    </xf>
    <xf numFmtId="0" fontId="44" fillId="2" borderId="33" xfId="0" applyFont="1" applyFill="1" applyBorder="1" applyAlignment="1">
      <alignment horizontal="center"/>
    </xf>
    <xf numFmtId="0" fontId="44" fillId="2" borderId="45" xfId="0" applyFont="1" applyFill="1" applyBorder="1" applyAlignment="1">
      <alignment horizontal="left"/>
    </xf>
    <xf numFmtId="0" fontId="44" fillId="2" borderId="7" xfId="0" applyFont="1" applyFill="1" applyBorder="1" applyAlignment="1">
      <alignment horizontal="center"/>
    </xf>
    <xf numFmtId="0" fontId="44" fillId="2" borderId="8" xfId="0" applyFont="1" applyFill="1" applyBorder="1" applyAlignment="1">
      <alignment horizontal="center"/>
    </xf>
    <xf numFmtId="0" fontId="2" fillId="2" borderId="25" xfId="0" applyFont="1" applyFill="1" applyBorder="1" applyAlignment="1">
      <alignment horizontal="left"/>
    </xf>
    <xf numFmtId="0" fontId="2" fillId="2" borderId="20" xfId="0" applyFont="1" applyFill="1" applyBorder="1" applyAlignment="1">
      <alignment horizontal="left"/>
    </xf>
    <xf numFmtId="0" fontId="2" fillId="2" borderId="0" xfId="0" applyFont="1" applyFill="1" applyAlignment="1">
      <alignment horizontal="center"/>
    </xf>
    <xf numFmtId="0" fontId="2" fillId="2" borderId="2" xfId="0" applyFont="1" applyFill="1" applyBorder="1" applyAlignment="1">
      <alignment horizontal="left"/>
    </xf>
    <xf numFmtId="0" fontId="2" fillId="2" borderId="30" xfId="0" applyFont="1" applyFill="1" applyBorder="1" applyAlignment="1">
      <alignment horizontal="left"/>
    </xf>
    <xf numFmtId="0" fontId="79" fillId="2" borderId="0" xfId="0" applyFont="1" applyFill="1" applyAlignment="1" applyProtection="1">
      <alignment horizontal="center"/>
      <protection hidden="1"/>
    </xf>
    <xf numFmtId="0" fontId="70" fillId="2" borderId="0" xfId="0" applyFont="1" applyFill="1" applyAlignment="1" applyProtection="1">
      <alignment horizontal="center"/>
      <protection hidden="1"/>
    </xf>
    <xf numFmtId="0" fontId="71" fillId="2" borderId="5" xfId="0" applyFont="1" applyFill="1" applyBorder="1" applyAlignment="1" applyProtection="1">
      <alignment horizontal="center"/>
      <protection hidden="1"/>
    </xf>
    <xf numFmtId="0" fontId="71" fillId="2" borderId="6" xfId="0" applyFont="1" applyFill="1" applyBorder="1" applyAlignment="1" applyProtection="1">
      <alignment horizontal="center"/>
      <protection hidden="1"/>
    </xf>
    <xf numFmtId="0" fontId="71" fillId="2" borderId="15" xfId="0" applyFont="1" applyFill="1" applyBorder="1" applyAlignment="1" applyProtection="1">
      <alignment horizontal="center"/>
      <protection hidden="1"/>
    </xf>
    <xf numFmtId="0" fontId="25" fillId="2" borderId="5" xfId="0" applyFont="1" applyFill="1" applyBorder="1" applyAlignment="1" applyProtection="1">
      <alignment horizontal="center"/>
      <protection hidden="1"/>
    </xf>
    <xf numFmtId="0" fontId="25" fillId="2" borderId="6" xfId="0" applyFont="1" applyFill="1" applyBorder="1" applyAlignment="1" applyProtection="1">
      <alignment horizontal="center"/>
      <protection hidden="1"/>
    </xf>
    <xf numFmtId="0" fontId="25" fillId="2" borderId="15" xfId="0" applyFont="1" applyFill="1" applyBorder="1" applyAlignment="1" applyProtection="1">
      <alignment horizontal="center"/>
      <protection hidden="1"/>
    </xf>
    <xf numFmtId="0" fontId="5" fillId="2" borderId="20" xfId="0" applyFont="1" applyFill="1" applyBorder="1" applyAlignment="1" applyProtection="1">
      <alignment horizontal="center"/>
      <protection hidden="1"/>
    </xf>
    <xf numFmtId="0" fontId="5" fillId="2" borderId="33" xfId="0" applyFont="1" applyFill="1" applyBorder="1" applyAlignment="1" applyProtection="1">
      <alignment horizontal="center"/>
      <protection hidden="1"/>
    </xf>
    <xf numFmtId="0" fontId="5" fillId="2" borderId="2" xfId="0" applyFont="1" applyFill="1" applyBorder="1" applyAlignment="1" applyProtection="1">
      <alignment horizontal="center"/>
      <protection hidden="1"/>
    </xf>
    <xf numFmtId="0" fontId="5" fillId="2" borderId="11" xfId="0" applyFont="1" applyFill="1" applyBorder="1" applyAlignment="1" applyProtection="1">
      <alignment horizontal="center"/>
      <protection hidden="1"/>
    </xf>
    <xf numFmtId="0" fontId="5" fillId="2" borderId="7" xfId="0" applyFont="1" applyFill="1" applyBorder="1" applyAlignment="1" applyProtection="1">
      <alignment horizontal="center"/>
      <protection hidden="1"/>
    </xf>
    <xf numFmtId="0" fontId="5" fillId="2" borderId="8" xfId="0" applyFont="1" applyFill="1" applyBorder="1" applyAlignment="1" applyProtection="1">
      <alignment horizontal="center"/>
      <protection hidden="1"/>
    </xf>
    <xf numFmtId="0" fontId="25" fillId="2" borderId="3" xfId="0" applyFont="1" applyFill="1" applyBorder="1" applyAlignment="1" applyProtection="1">
      <alignment horizontal="center"/>
      <protection hidden="1"/>
    </xf>
    <xf numFmtId="0" fontId="25" fillId="2" borderId="37" xfId="0" applyFont="1" applyFill="1" applyBorder="1" applyAlignment="1" applyProtection="1">
      <alignment horizontal="center"/>
      <protection hidden="1"/>
    </xf>
    <xf numFmtId="0" fontId="25" fillId="2" borderId="46" xfId="0" applyFont="1" applyFill="1" applyBorder="1" applyAlignment="1" applyProtection="1">
      <alignment horizontal="center"/>
      <protection hidden="1"/>
    </xf>
    <xf numFmtId="0" fontId="56" fillId="2" borderId="0" xfId="0" applyFont="1" applyFill="1" applyBorder="1" applyAlignment="1" applyProtection="1">
      <alignment horizontal="center"/>
      <protection hidden="1"/>
    </xf>
    <xf numFmtId="173" fontId="5" fillId="2" borderId="2" xfId="0" applyNumberFormat="1" applyFont="1" applyFill="1" applyBorder="1" applyAlignment="1" applyProtection="1">
      <alignment horizontal="center"/>
      <protection hidden="1"/>
    </xf>
    <xf numFmtId="173" fontId="5" fillId="2" borderId="44" xfId="0" applyNumberFormat="1" applyFont="1" applyFill="1" applyBorder="1" applyAlignment="1" applyProtection="1">
      <alignment horizontal="center"/>
      <protection hidden="1"/>
    </xf>
    <xf numFmtId="1" fontId="5" fillId="2" borderId="34" xfId="0" applyNumberFormat="1" applyFont="1" applyFill="1" applyBorder="1" applyAlignment="1" applyProtection="1">
      <alignment horizontal="center"/>
      <protection hidden="1"/>
    </xf>
    <xf numFmtId="1" fontId="5" fillId="2" borderId="47" xfId="0" applyNumberFormat="1" applyFont="1" applyFill="1" applyBorder="1" applyAlignment="1" applyProtection="1">
      <alignment horizontal="center"/>
      <protection hidden="1"/>
    </xf>
  </cellXfs>
  <cellStyles count="3">
    <cellStyle name="Comma" xfId="1" builtinId="3"/>
    <cellStyle name="Currency" xfId="2" builtinId="4"/>
    <cellStyle name="Normal" xfId="0" builtinId="0"/>
  </cellStyles>
  <dxfs count="2">
    <dxf>
      <font>
        <b/>
        <i val="0"/>
        <strike val="0"/>
        <condense val="0"/>
        <extend val="0"/>
        <color auto="1"/>
      </font>
      <fill>
        <patternFill>
          <bgColor indexed="10"/>
        </patternFill>
      </fill>
    </dxf>
    <dxf>
      <font>
        <b/>
        <i val="0"/>
        <strike val="0"/>
        <condense val="0"/>
        <extend val="0"/>
        <color auto="1"/>
      </font>
      <fill>
        <patternFill>
          <bgColor indexed="1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79176FB0-B7F2-11CE-97EF-00AA006D2776}"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79176FB0-B7F2-11CE-97EF-00AA006D2776}" ax:persistence="persistStreamInit" r:id="rId1"/>
</file>

<file path=xl/activeX/activeX32.xml><?xml version="1.0" encoding="utf-8"?>
<ax:ocx xmlns:ax="http://schemas.microsoft.com/office/2006/activeX" xmlns:r="http://schemas.openxmlformats.org/officeDocument/2006/relationships" ax:classid="{79176FB0-B7F2-11CE-97EF-00AA006D2776}"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charts/_rels/chart2.xml.rels><?xml version="1.0" encoding="UTF-8" standalone="yes"?>
<Relationships xmlns="http://schemas.openxmlformats.org/package/2006/relationships"><Relationship Id="rId1" Type="http://schemas.openxmlformats.org/officeDocument/2006/relationships/image" Target="../media/image44.png"/></Relationships>
</file>

<file path=xl/charts/_rels/chart6.xml.rels><?xml version="1.0" encoding="UTF-8" standalone="yes"?>
<Relationships xmlns="http://schemas.openxmlformats.org/package/2006/relationships"><Relationship Id="rId1" Type="http://schemas.openxmlformats.org/officeDocument/2006/relationships/image" Target="../media/image44.pn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AU"/>
              <a:t>Effects of changing main input costs</a:t>
            </a:r>
          </a:p>
        </c:rich>
      </c:tx>
      <c:layout>
        <c:manualLayout>
          <c:xMode val="edge"/>
          <c:yMode val="edge"/>
          <c:x val="0.19278004566132054"/>
          <c:y val="3.0069578566830089E-2"/>
        </c:manualLayout>
      </c:layout>
      <c:overlay val="0"/>
      <c:spPr>
        <a:noFill/>
        <a:ln w="25400">
          <a:noFill/>
        </a:ln>
      </c:spPr>
    </c:title>
    <c:autoTitleDeleted val="0"/>
    <c:plotArea>
      <c:layout>
        <c:manualLayout>
          <c:layoutTarget val="inner"/>
          <c:xMode val="edge"/>
          <c:yMode val="edge"/>
          <c:x val="0.27548806941431669"/>
          <c:y val="0.13915110364357269"/>
          <c:w val="0.70281995661605201"/>
          <c:h val="0.72169894432090254"/>
        </c:manualLayout>
      </c:layout>
      <c:barChart>
        <c:barDir val="bar"/>
        <c:grouping val="clustered"/>
        <c:varyColors val="0"/>
        <c:ser>
          <c:idx val="0"/>
          <c:order val="0"/>
          <c:spPr>
            <a:solidFill>
              <a:srgbClr val="000000"/>
            </a:solidFill>
            <a:ln w="12700">
              <a:solidFill>
                <a:srgbClr val="000000"/>
              </a:solidFill>
              <a:prstDash val="solid"/>
            </a:ln>
          </c:spPr>
          <c:invertIfNegative val="0"/>
          <c:dPt>
            <c:idx val="1"/>
            <c:invertIfNegative val="0"/>
            <c:bubble3D val="0"/>
            <c:spPr>
              <a:solidFill>
                <a:srgbClr val="0000FF"/>
              </a:solidFill>
              <a:ln w="12700">
                <a:solidFill>
                  <a:srgbClr val="000000"/>
                </a:solidFill>
                <a:prstDash val="solid"/>
              </a:ln>
            </c:spPr>
          </c:dPt>
          <c:cat>
            <c:strRef>
              <c:f>ProfitLoss!$Y$19:$Y$20</c:f>
              <c:strCache>
                <c:ptCount val="2"/>
                <c:pt idx="0">
                  <c:v>Decrease in feed ($tonneDM) by 10%</c:v>
                </c:pt>
                <c:pt idx="1">
                  <c:v>Decrease in lambs start value by 10 cents/LWT</c:v>
                </c:pt>
              </c:strCache>
            </c:strRef>
          </c:cat>
          <c:val>
            <c:numRef>
              <c:f>ProfitLoss!$AB$19:$AB$20</c:f>
              <c:numCache>
                <c:formatCode>0.00</c:formatCode>
                <c:ptCount val="2"/>
                <c:pt idx="0">
                  <c:v>2.1560000000000001</c:v>
                </c:pt>
                <c:pt idx="1">
                  <c:v>3.8000000000000003</c:v>
                </c:pt>
              </c:numCache>
            </c:numRef>
          </c:val>
        </c:ser>
        <c:dLbls>
          <c:showLegendKey val="0"/>
          <c:showVal val="0"/>
          <c:showCatName val="0"/>
          <c:showSerName val="0"/>
          <c:showPercent val="0"/>
          <c:showBubbleSize val="0"/>
        </c:dLbls>
        <c:gapWidth val="260"/>
        <c:axId val="185348096"/>
        <c:axId val="185349632"/>
      </c:barChart>
      <c:catAx>
        <c:axId val="185348096"/>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en-US"/>
          </a:p>
        </c:txPr>
        <c:crossAx val="185349632"/>
        <c:crosses val="autoZero"/>
        <c:auto val="1"/>
        <c:lblAlgn val="ctr"/>
        <c:lblOffset val="100"/>
        <c:tickLblSkip val="1"/>
        <c:tickMarkSkip val="1"/>
        <c:noMultiLvlLbl val="0"/>
      </c:catAx>
      <c:valAx>
        <c:axId val="185349632"/>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AU"/>
                  <a:t>Increase in profit/lamb ($)</a:t>
                </a:r>
              </a:p>
            </c:rich>
          </c:tx>
          <c:layout>
            <c:manualLayout>
              <c:xMode val="edge"/>
              <c:yMode val="edge"/>
              <c:x val="0.41371889251370692"/>
              <c:y val="0.92290174813054027"/>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en-US"/>
          </a:p>
        </c:txPr>
        <c:crossAx val="185348096"/>
        <c:crosses val="autoZero"/>
        <c:crossBetween val="between"/>
      </c:valAx>
      <c:spPr>
        <a:solidFill>
          <a:srgbClr val="FFFFFF"/>
        </a:solidFill>
        <a:ln w="12700">
          <a:solidFill>
            <a:srgbClr val="808080"/>
          </a:solidFill>
          <a:prstDash val="solid"/>
        </a:ln>
      </c:spPr>
    </c:plotArea>
    <c:plotVisOnly val="1"/>
    <c:dispBlanksAs val="gap"/>
    <c:showDLblsOverMax val="0"/>
  </c:chart>
  <c:spPr>
    <a:solidFill>
      <a:srgbClr val="FFFFFF"/>
    </a:solidFill>
    <a:ln w="9525">
      <a:noFill/>
    </a:ln>
  </c:spPr>
  <c:txPr>
    <a:bodyPr/>
    <a:lstStyle/>
    <a:p>
      <a:pPr>
        <a:defRPr sz="9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1" i="0" u="none" strike="noStrike" baseline="0">
                <a:solidFill>
                  <a:srgbClr val="000000"/>
                </a:solidFill>
                <a:latin typeface="Arial"/>
                <a:ea typeface="Arial"/>
                <a:cs typeface="Arial"/>
              </a:defRPr>
            </a:pPr>
            <a:r>
              <a:rPr lang="en-AU"/>
              <a:t>Breakup of costs/lamb (%)</a:t>
            </a:r>
          </a:p>
        </c:rich>
      </c:tx>
      <c:layout>
        <c:manualLayout>
          <c:xMode val="edge"/>
          <c:yMode val="edge"/>
          <c:x val="0.43335454576557814"/>
          <c:y val="1.0295110170052272E-2"/>
        </c:manualLayout>
      </c:layout>
      <c:overlay val="0"/>
      <c:spPr>
        <a:noFill/>
        <a:ln w="25400">
          <a:noFill/>
        </a:ln>
      </c:spPr>
    </c:title>
    <c:autoTitleDeleted val="0"/>
    <c:plotArea>
      <c:layout>
        <c:manualLayout>
          <c:layoutTarget val="inner"/>
          <c:xMode val="edge"/>
          <c:yMode val="edge"/>
          <c:x val="0.23062644168770546"/>
          <c:y val="0.17707642131255003"/>
          <c:w val="0.51332982182102183"/>
          <c:h val="0.56829177072399772"/>
        </c:manualLayout>
      </c:layout>
      <c:pieChart>
        <c:varyColors val="1"/>
        <c:ser>
          <c:idx val="0"/>
          <c:order val="0"/>
          <c:spPr>
            <a:solidFill>
              <a:srgbClr val="9999FF"/>
            </a:solidFill>
            <a:ln w="12700">
              <a:solidFill>
                <a:srgbClr val="000000"/>
              </a:solidFill>
              <a:prstDash val="solid"/>
            </a:ln>
          </c:spPr>
          <c:explosion val="8"/>
          <c:dPt>
            <c:idx val="0"/>
            <c:bubble3D val="0"/>
            <c:spPr>
              <a:solidFill>
                <a:srgbClr val="0000FF"/>
              </a:solidFill>
              <a:ln w="12700">
                <a:solidFill>
                  <a:srgbClr val="000000"/>
                </a:solidFill>
                <a:prstDash val="solid"/>
              </a:ln>
            </c:spPr>
          </c:dPt>
          <c:dPt>
            <c:idx val="1"/>
            <c:bubble3D val="0"/>
            <c:spPr>
              <a:solidFill>
                <a:srgbClr val="00CCFF"/>
              </a:solidFill>
              <a:ln w="12700">
                <a:solidFill>
                  <a:srgbClr val="000000"/>
                </a:solidFill>
                <a:prstDash val="solid"/>
              </a:ln>
            </c:spPr>
          </c:dPt>
          <c:dPt>
            <c:idx val="2"/>
            <c:bubble3D val="0"/>
            <c:spPr>
              <a:solidFill>
                <a:srgbClr val="00FF00"/>
              </a:solidFill>
              <a:ln w="12700">
                <a:solidFill>
                  <a:srgbClr val="000000"/>
                </a:solidFill>
                <a:prstDash val="solid"/>
              </a:ln>
            </c:spPr>
          </c:dPt>
          <c:dPt>
            <c:idx val="3"/>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dPt>
          <c:dPt>
            <c:idx val="4"/>
            <c:bubble3D val="0"/>
            <c:spPr>
              <a:solidFill>
                <a:srgbClr val="FF0000"/>
              </a:solidFill>
              <a:ln w="12700">
                <a:solidFill>
                  <a:srgbClr val="000000"/>
                </a:solidFill>
                <a:prstDash val="solid"/>
              </a:ln>
            </c:spPr>
          </c:dPt>
          <c:dPt>
            <c:idx val="5"/>
            <c:bubble3D val="0"/>
            <c:spPr>
              <a:solidFill>
                <a:srgbClr val="000000"/>
              </a:solidFill>
              <a:ln w="12700">
                <a:solidFill>
                  <a:srgbClr val="000000"/>
                </a:solidFill>
                <a:prstDash val="solid"/>
              </a:ln>
            </c:spPr>
          </c:dPt>
          <c:dLbls>
            <c:dLbl>
              <c:idx val="0"/>
              <c:layout>
                <c:manualLayout>
                  <c:x val="3.8361717584683104E-2"/>
                  <c:y val="-2.4515317115393148E-2"/>
                </c:manualLayout>
              </c:layout>
              <c:dLblPos val="bestFit"/>
              <c:showLegendKey val="0"/>
              <c:showVal val="0"/>
              <c:showCatName val="1"/>
              <c:showSerName val="0"/>
              <c:showPercent val="1"/>
              <c:showBubbleSize val="0"/>
            </c:dLbl>
            <c:dLbl>
              <c:idx val="1"/>
              <c:layout>
                <c:manualLayout>
                  <c:x val="0.17415918550019444"/>
                  <c:y val="0.23358397065902423"/>
                </c:manualLayout>
              </c:layout>
              <c:dLblPos val="bestFit"/>
              <c:showLegendKey val="0"/>
              <c:showVal val="0"/>
              <c:showCatName val="1"/>
              <c:showSerName val="0"/>
              <c:showPercent val="1"/>
              <c:showBubbleSize val="0"/>
            </c:dLbl>
            <c:dLbl>
              <c:idx val="2"/>
              <c:layout>
                <c:manualLayout>
                  <c:x val="9.5026296695204047E-3"/>
                  <c:y val="-1.2130504038381871E-2"/>
                </c:manualLayout>
              </c:layout>
              <c:dLblPos val="bestFit"/>
              <c:showLegendKey val="0"/>
              <c:showVal val="0"/>
              <c:showCatName val="1"/>
              <c:showSerName val="0"/>
              <c:showPercent val="1"/>
              <c:showBubbleSize val="0"/>
            </c:dLbl>
            <c:dLbl>
              <c:idx val="3"/>
              <c:layout>
                <c:manualLayout>
                  <c:x val="7.2087061963749935E-2"/>
                  <c:y val="-0.15861722498360212"/>
                </c:manualLayout>
              </c:layout>
              <c:dLblPos val="bestFit"/>
              <c:showLegendKey val="0"/>
              <c:showVal val="0"/>
              <c:showCatName val="1"/>
              <c:showSerName val="0"/>
              <c:showPercent val="1"/>
              <c:showBubbleSize val="0"/>
            </c:dLbl>
            <c:dLbl>
              <c:idx val="4"/>
              <c:layout>
                <c:manualLayout>
                  <c:x val="-1.4758076208109064E-3"/>
                  <c:y val="-8.329978507831616E-2"/>
                </c:manualLayout>
              </c:layout>
              <c:dLblPos val="bestFit"/>
              <c:showLegendKey val="0"/>
              <c:showVal val="0"/>
              <c:showCatName val="1"/>
              <c:showSerName val="0"/>
              <c:showPercent val="1"/>
              <c:showBubbleSize val="0"/>
            </c:dLbl>
            <c:dLbl>
              <c:idx val="5"/>
              <c:layout>
                <c:manualLayout>
                  <c:x val="0.23600561756426733"/>
                  <c:y val="1.2544164150701764E-2"/>
                </c:manualLayout>
              </c:layout>
              <c:dLblPos val="bestFit"/>
              <c:showLegendKey val="0"/>
              <c:showVal val="0"/>
              <c:showCatName val="1"/>
              <c:showSerName val="0"/>
              <c:showPercent val="1"/>
              <c:showBubbleSize val="0"/>
            </c:dLbl>
            <c:numFmt formatCode="0%" sourceLinked="0"/>
            <c:spPr>
              <a:noFill/>
              <a:ln w="25400">
                <a:noFill/>
              </a:ln>
            </c:spPr>
            <c:txPr>
              <a:bodyPr/>
              <a:lstStyle/>
              <a:p>
                <a:pPr algn="ctr" rtl="1">
                  <a:defRPr sz="1600" b="0" i="0" u="none" strike="noStrike" baseline="0">
                    <a:solidFill>
                      <a:srgbClr val="000000"/>
                    </a:solidFill>
                    <a:latin typeface="Arial"/>
                    <a:ea typeface="Arial"/>
                    <a:cs typeface="Arial"/>
                  </a:defRPr>
                </a:pPr>
                <a:endParaRPr lang="en-US"/>
              </a:p>
            </c:txPr>
            <c:showLegendKey val="0"/>
            <c:showVal val="0"/>
            <c:showCatName val="1"/>
            <c:showSerName val="0"/>
            <c:showPercent val="1"/>
            <c:showBubbleSize val="0"/>
            <c:showLeaderLines val="1"/>
          </c:dLbls>
          <c:cat>
            <c:strRef>
              <c:f>ProfitLoss!$Y$6:$Y$11</c:f>
              <c:strCache>
                <c:ptCount val="6"/>
                <c:pt idx="0">
                  <c:v>Purchase </c:v>
                </c:pt>
                <c:pt idx="1">
                  <c:v>Selling </c:v>
                </c:pt>
                <c:pt idx="2">
                  <c:v>Running </c:v>
                </c:pt>
                <c:pt idx="3">
                  <c:v>Labour</c:v>
                </c:pt>
                <c:pt idx="4">
                  <c:v>Feed</c:v>
                </c:pt>
                <c:pt idx="5">
                  <c:v>Fixed</c:v>
                </c:pt>
              </c:strCache>
            </c:strRef>
          </c:cat>
          <c:val>
            <c:numRef>
              <c:f>ProfitLoss!$AA$6:$AA$11</c:f>
              <c:numCache>
                <c:formatCode>0.00</c:formatCode>
                <c:ptCount val="6"/>
                <c:pt idx="0">
                  <c:v>113</c:v>
                </c:pt>
                <c:pt idx="1">
                  <c:v>12.967900176125244</c:v>
                </c:pt>
                <c:pt idx="2">
                  <c:v>5.3819999999999997</c:v>
                </c:pt>
                <c:pt idx="3">
                  <c:v>2.1428571428571428</c:v>
                </c:pt>
                <c:pt idx="4">
                  <c:v>22.561000000000003</c:v>
                </c:pt>
                <c:pt idx="5">
                  <c:v>0</c:v>
                </c:pt>
              </c:numCache>
            </c:numRef>
          </c:val>
        </c:ser>
        <c:dLbls>
          <c:showLegendKey val="0"/>
          <c:showVal val="0"/>
          <c:showCatName val="0"/>
          <c:showSerName val="0"/>
          <c:showPercent val="0"/>
          <c:showBubbleSize val="0"/>
          <c:showLeaderLines val="1"/>
        </c:dLbls>
        <c:firstSliceAng val="0"/>
      </c:pieChart>
      <c:spPr>
        <a:solidFill>
          <a:srgbClr val="FFFFFF"/>
        </a:solidFill>
        <a:ln w="12700">
          <a:solidFill>
            <a:srgbClr val="FFFFFF"/>
          </a:solidFill>
          <a:prstDash val="solid"/>
        </a:ln>
      </c:spPr>
    </c:plotArea>
    <c:plotVisOnly val="1"/>
    <c:dispBlanksAs val="zero"/>
    <c:showDLblsOverMax val="0"/>
  </c:chart>
  <c:spPr>
    <a:solidFill>
      <a:srgbClr val="FFFFFF"/>
    </a:solidFill>
    <a:ln w="9525">
      <a:noFill/>
    </a:ln>
  </c:spPr>
  <c:txPr>
    <a:bodyPr/>
    <a:lstStyle/>
    <a:p>
      <a:pPr>
        <a:defRPr sz="8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AU"/>
              <a:t>Effect of change in selling price on per head  profit</a:t>
            </a:r>
          </a:p>
        </c:rich>
      </c:tx>
      <c:layout>
        <c:manualLayout>
          <c:xMode val="edge"/>
          <c:yMode val="edge"/>
          <c:x val="0.14948123168595612"/>
          <c:y val="3.0540355117480818E-2"/>
        </c:manualLayout>
      </c:layout>
      <c:overlay val="0"/>
      <c:spPr>
        <a:noFill/>
        <a:ln w="25400">
          <a:noFill/>
        </a:ln>
      </c:spPr>
    </c:title>
    <c:autoTitleDeleted val="0"/>
    <c:plotArea>
      <c:layout>
        <c:manualLayout>
          <c:layoutTarget val="inner"/>
          <c:xMode val="edge"/>
          <c:yMode val="edge"/>
          <c:x val="0.23908548178993327"/>
          <c:y val="0.22781827932563167"/>
          <c:w val="0.73180947469614355"/>
          <c:h val="0.6354930949609725"/>
        </c:manualLayout>
      </c:layout>
      <c:lineChart>
        <c:grouping val="standard"/>
        <c:varyColors val="0"/>
        <c:ser>
          <c:idx val="0"/>
          <c:order val="0"/>
          <c:spPr>
            <a:ln w="25400">
              <a:solidFill>
                <a:srgbClr val="000000"/>
              </a:solidFill>
              <a:prstDash val="solid"/>
            </a:ln>
          </c:spPr>
          <c:marker>
            <c:symbol val="none"/>
          </c:marker>
          <c:dPt>
            <c:idx val="8"/>
            <c:marker>
              <c:symbol val="diamond"/>
              <c:size val="7"/>
              <c:spPr>
                <a:solidFill>
                  <a:srgbClr val="000000"/>
                </a:solidFill>
                <a:ln>
                  <a:solidFill>
                    <a:srgbClr val="000000"/>
                  </a:solidFill>
                  <a:prstDash val="solid"/>
                </a:ln>
              </c:spPr>
            </c:marker>
            <c:bubble3D val="0"/>
            <c:spPr>
              <a:ln w="25400">
                <a:solidFill>
                  <a:srgbClr val="000000"/>
                </a:solidFill>
                <a:prstDash val="solid"/>
              </a:ln>
            </c:spPr>
          </c:dPt>
          <c:cat>
            <c:numRef>
              <c:f>ProfitLoss!$AE$10:$AE$26</c:f>
              <c:numCache>
                <c:formatCode>0.00</c:formatCode>
                <c:ptCount val="17"/>
                <c:pt idx="0">
                  <c:v>5.09</c:v>
                </c:pt>
                <c:pt idx="1">
                  <c:v>5.1899999999999995</c:v>
                </c:pt>
                <c:pt idx="2">
                  <c:v>5.2899999999999991</c:v>
                </c:pt>
                <c:pt idx="3">
                  <c:v>5.3899999999999988</c:v>
                </c:pt>
                <c:pt idx="4">
                  <c:v>5.4899999999999984</c:v>
                </c:pt>
                <c:pt idx="5">
                  <c:v>5.5899999999999981</c:v>
                </c:pt>
                <c:pt idx="6">
                  <c:v>5.6899999999999977</c:v>
                </c:pt>
                <c:pt idx="7">
                  <c:v>5.7899999999999974</c:v>
                </c:pt>
                <c:pt idx="8">
                  <c:v>5.889999999999997</c:v>
                </c:pt>
                <c:pt idx="9">
                  <c:v>5.9899999999999967</c:v>
                </c:pt>
                <c:pt idx="10">
                  <c:v>6.0899999999999963</c:v>
                </c:pt>
                <c:pt idx="11">
                  <c:v>6.1899999999999959</c:v>
                </c:pt>
                <c:pt idx="12">
                  <c:v>6.2899999999999956</c:v>
                </c:pt>
                <c:pt idx="13">
                  <c:v>6.3899999999999952</c:v>
                </c:pt>
                <c:pt idx="14">
                  <c:v>6.4899999999999949</c:v>
                </c:pt>
                <c:pt idx="15">
                  <c:v>6.5899999999999945</c:v>
                </c:pt>
                <c:pt idx="16">
                  <c:v>6.6899999999999942</c:v>
                </c:pt>
              </c:numCache>
            </c:numRef>
          </c:cat>
          <c:val>
            <c:numRef>
              <c:f>ProfitLoss!$AN$10:$AN$26</c:f>
              <c:numCache>
                <c:formatCode>0.00</c:formatCode>
                <c:ptCount val="17"/>
                <c:pt idx="0">
                  <c:v>-16.134097318982356</c:v>
                </c:pt>
                <c:pt idx="1">
                  <c:v>-13.856697318982356</c:v>
                </c:pt>
                <c:pt idx="2">
                  <c:v>-11.579297318982379</c:v>
                </c:pt>
                <c:pt idx="3">
                  <c:v>-9.3018973189823804</c:v>
                </c:pt>
                <c:pt idx="4">
                  <c:v>-7.0244973189823794</c:v>
                </c:pt>
                <c:pt idx="5">
                  <c:v>-4.7470973189824024</c:v>
                </c:pt>
                <c:pt idx="6">
                  <c:v>-2.4696973189824027</c:v>
                </c:pt>
                <c:pt idx="7">
                  <c:v>-0.19229731898240279</c:v>
                </c:pt>
                <c:pt idx="8">
                  <c:v>2.0851026810175508</c:v>
                </c:pt>
                <c:pt idx="9">
                  <c:v>4.3625026810175509</c:v>
                </c:pt>
                <c:pt idx="10">
                  <c:v>6.639902681017551</c:v>
                </c:pt>
                <c:pt idx="11">
                  <c:v>8.9173026810175511</c:v>
                </c:pt>
                <c:pt idx="12">
                  <c:v>11.194702681017551</c:v>
                </c:pt>
                <c:pt idx="13">
                  <c:v>13.472102681017503</c:v>
                </c:pt>
                <c:pt idx="14">
                  <c:v>15.749502681017503</c:v>
                </c:pt>
                <c:pt idx="15">
                  <c:v>18.026902681017503</c:v>
                </c:pt>
                <c:pt idx="16">
                  <c:v>20.304302681017482</c:v>
                </c:pt>
              </c:numCache>
            </c:numRef>
          </c:val>
          <c:smooth val="0"/>
        </c:ser>
        <c:dLbls>
          <c:showLegendKey val="0"/>
          <c:showVal val="0"/>
          <c:showCatName val="0"/>
          <c:showSerName val="0"/>
          <c:showPercent val="0"/>
          <c:showBubbleSize val="0"/>
        </c:dLbls>
        <c:marker val="1"/>
        <c:smooth val="0"/>
        <c:axId val="185583104"/>
        <c:axId val="185585024"/>
      </c:lineChart>
      <c:catAx>
        <c:axId val="18558310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AU"/>
                  <a:t>HCWT selling price</a:t>
                </a:r>
              </a:p>
            </c:rich>
          </c:tx>
          <c:layout>
            <c:manualLayout>
              <c:xMode val="edge"/>
              <c:yMode val="edge"/>
              <c:x val="0.43391054288692082"/>
              <c:y val="0.89741724730451855"/>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5400000" vert="horz"/>
          <a:lstStyle/>
          <a:p>
            <a:pPr>
              <a:defRPr sz="1200" b="0" i="0" u="none" strike="noStrike" baseline="0">
                <a:solidFill>
                  <a:srgbClr val="000000"/>
                </a:solidFill>
                <a:latin typeface="Arial"/>
                <a:ea typeface="Arial"/>
                <a:cs typeface="Arial"/>
              </a:defRPr>
            </a:pPr>
            <a:endParaRPr lang="en-US"/>
          </a:p>
        </c:txPr>
        <c:crossAx val="185585024"/>
        <c:crosses val="autoZero"/>
        <c:auto val="1"/>
        <c:lblAlgn val="ctr"/>
        <c:lblOffset val="100"/>
        <c:tickLblSkip val="2"/>
        <c:tickMarkSkip val="1"/>
        <c:noMultiLvlLbl val="0"/>
      </c:catAx>
      <c:valAx>
        <c:axId val="185585024"/>
        <c:scaling>
          <c:orientation val="minMax"/>
        </c:scaling>
        <c:delete val="0"/>
        <c:axPos val="l"/>
        <c:title>
          <c:tx>
            <c:rich>
              <a:bodyPr/>
              <a:lstStyle/>
              <a:p>
                <a:pPr>
                  <a:defRPr sz="1200" b="1" i="0" u="none" strike="noStrike" baseline="0">
                    <a:solidFill>
                      <a:srgbClr val="000000"/>
                    </a:solidFill>
                    <a:latin typeface="Arial"/>
                    <a:ea typeface="Arial"/>
                    <a:cs typeface="Arial"/>
                  </a:defRPr>
                </a:pPr>
                <a:r>
                  <a:rPr lang="en-AU"/>
                  <a:t>Profit/head ($)</a:t>
                </a:r>
              </a:p>
            </c:rich>
          </c:tx>
          <c:layout>
            <c:manualLayout>
              <c:xMode val="edge"/>
              <c:yMode val="edge"/>
              <c:x val="3.3217978729789752E-2"/>
              <c:y val="0.37353222933464253"/>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1200" b="1" i="0" u="none" strike="noStrike" baseline="0">
                <a:solidFill>
                  <a:srgbClr val="000000"/>
                </a:solidFill>
                <a:latin typeface="Arial"/>
                <a:ea typeface="Arial"/>
                <a:cs typeface="Arial"/>
              </a:defRPr>
            </a:pPr>
            <a:endParaRPr lang="en-US"/>
          </a:p>
        </c:txPr>
        <c:crossAx val="185583104"/>
        <c:crosses val="autoZero"/>
        <c:crossBetween val="between"/>
      </c:valAx>
      <c:spPr>
        <a:solidFill>
          <a:srgbClr val="FFFFFF"/>
        </a:solidFill>
        <a:ln w="12700">
          <a:solidFill>
            <a:srgbClr val="808080"/>
          </a:solidFill>
          <a:prstDash val="solid"/>
        </a:ln>
      </c:spPr>
    </c:plotArea>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AU"/>
              <a:t>Ration Components (OVERALL)</a:t>
            </a:r>
          </a:p>
        </c:rich>
      </c:tx>
      <c:layout>
        <c:manualLayout>
          <c:xMode val="edge"/>
          <c:yMode val="edge"/>
          <c:x val="0.3402889245585875"/>
          <c:y val="3.3802757413943951E-2"/>
        </c:manualLayout>
      </c:layout>
      <c:overlay val="0"/>
      <c:spPr>
        <a:noFill/>
        <a:ln w="25400">
          <a:noFill/>
        </a:ln>
      </c:spPr>
    </c:title>
    <c:autoTitleDeleted val="0"/>
    <c:plotArea>
      <c:layout>
        <c:manualLayout>
          <c:layoutTarget val="inner"/>
          <c:xMode val="edge"/>
          <c:yMode val="edge"/>
          <c:x val="0.17335473515248795"/>
          <c:y val="0.16619718309859155"/>
          <c:w val="0.7961476725521669"/>
          <c:h val="0.6704225352112676"/>
        </c:manualLayout>
      </c:layout>
      <c:barChart>
        <c:barDir val="bar"/>
        <c:grouping val="clustered"/>
        <c:varyColors val="0"/>
        <c:ser>
          <c:idx val="0"/>
          <c:order val="0"/>
          <c:tx>
            <c:strRef>
              <c:f>Rations!$U$8</c:f>
              <c:strCache>
                <c:ptCount val="1"/>
                <c:pt idx="0">
                  <c:v>As Fed</c:v>
                </c:pt>
              </c:strCache>
            </c:strRef>
          </c:tx>
          <c:spPr>
            <a:solidFill>
              <a:srgbClr val="000000"/>
            </a:solidFill>
            <a:ln w="12700">
              <a:solidFill>
                <a:srgbClr val="000000"/>
              </a:solidFill>
              <a:prstDash val="solid"/>
            </a:ln>
          </c:spPr>
          <c:invertIfNegative val="0"/>
          <c:dLbls>
            <c:spPr>
              <a:noFill/>
              <a:ln w="25400">
                <a:noFill/>
              </a:ln>
            </c:spPr>
            <c:txPr>
              <a:bodyPr/>
              <a:lstStyle/>
              <a:p>
                <a:pPr algn="ctr" rtl="1">
                  <a:defRPr sz="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cat>
            <c:strRef>
              <c:f>Rations!$T$9:$T$14</c:f>
              <c:strCache>
                <c:ptCount val="6"/>
                <c:pt idx="0">
                  <c:v>Grains</c:v>
                </c:pt>
                <c:pt idx="1">
                  <c:v>Meals</c:v>
                </c:pt>
                <c:pt idx="2">
                  <c:v>Additives</c:v>
                </c:pt>
                <c:pt idx="3">
                  <c:v>Other Feeds</c:v>
                </c:pt>
                <c:pt idx="4">
                  <c:v>Straw/Hay</c:v>
                </c:pt>
                <c:pt idx="5">
                  <c:v>Silage</c:v>
                </c:pt>
              </c:strCache>
            </c:strRef>
          </c:cat>
          <c:val>
            <c:numRef>
              <c:f>Rations!$U$9:$U$14</c:f>
              <c:numCache>
                <c:formatCode>0</c:formatCode>
                <c:ptCount val="6"/>
                <c:pt idx="0">
                  <c:v>0</c:v>
                </c:pt>
                <c:pt idx="1">
                  <c:v>0</c:v>
                </c:pt>
                <c:pt idx="2">
                  <c:v>0</c:v>
                </c:pt>
                <c:pt idx="3">
                  <c:v>100</c:v>
                </c:pt>
                <c:pt idx="4">
                  <c:v>0</c:v>
                </c:pt>
                <c:pt idx="5">
                  <c:v>0</c:v>
                </c:pt>
              </c:numCache>
            </c:numRef>
          </c:val>
        </c:ser>
        <c:ser>
          <c:idx val="1"/>
          <c:order val="1"/>
          <c:tx>
            <c:strRef>
              <c:f>Rations!$V$8</c:f>
              <c:strCache>
                <c:ptCount val="1"/>
                <c:pt idx="0">
                  <c:v>DM</c:v>
                </c:pt>
              </c:strCache>
            </c:strRef>
          </c:tx>
          <c:spPr>
            <a:blipFill dpi="0" rotWithShape="0">
              <a:blip xmlns:r="http://schemas.openxmlformats.org/officeDocument/2006/relationships"/>
              <a:srcRect/>
              <a:tile tx="0" ty="0" sx="100000" sy="100000" flip="none" algn="tl"/>
            </a:blipFill>
            <a:ln w="12700">
              <a:solidFill>
                <a:srgbClr val="000000"/>
              </a:solidFill>
              <a:prstDash val="solid"/>
            </a:ln>
          </c:spPr>
          <c:invertIfNegative val="0"/>
          <c:dLbls>
            <c:spPr>
              <a:noFill/>
              <a:ln w="25400">
                <a:noFill/>
              </a:ln>
            </c:spPr>
            <c:txPr>
              <a:bodyPr/>
              <a:lstStyle/>
              <a:p>
                <a:pPr algn="ctr" rtl="1">
                  <a:defRPr sz="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val>
            <c:numRef>
              <c:f>Rations!$V$9:$V$14</c:f>
              <c:numCache>
                <c:formatCode>0</c:formatCode>
                <c:ptCount val="6"/>
                <c:pt idx="0">
                  <c:v>0</c:v>
                </c:pt>
                <c:pt idx="1">
                  <c:v>0</c:v>
                </c:pt>
                <c:pt idx="2">
                  <c:v>0</c:v>
                </c:pt>
                <c:pt idx="3">
                  <c:v>100</c:v>
                </c:pt>
                <c:pt idx="4">
                  <c:v>0</c:v>
                </c:pt>
                <c:pt idx="5">
                  <c:v>0</c:v>
                </c:pt>
              </c:numCache>
            </c:numRef>
          </c:val>
        </c:ser>
        <c:dLbls>
          <c:showLegendKey val="0"/>
          <c:showVal val="0"/>
          <c:showCatName val="0"/>
          <c:showSerName val="0"/>
          <c:showPercent val="0"/>
          <c:showBubbleSize val="0"/>
        </c:dLbls>
        <c:gapWidth val="150"/>
        <c:axId val="185619584"/>
        <c:axId val="185621120"/>
      </c:barChart>
      <c:catAx>
        <c:axId val="18561958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800" b="1" i="0" u="none" strike="noStrike" baseline="0">
                <a:solidFill>
                  <a:srgbClr val="000000"/>
                </a:solidFill>
                <a:latin typeface="Arial"/>
                <a:ea typeface="Arial"/>
                <a:cs typeface="Arial"/>
              </a:defRPr>
            </a:pPr>
            <a:endParaRPr lang="en-US"/>
          </a:p>
        </c:txPr>
        <c:crossAx val="185621120"/>
        <c:crosses val="autoZero"/>
        <c:auto val="1"/>
        <c:lblAlgn val="ctr"/>
        <c:lblOffset val="100"/>
        <c:tickLblSkip val="1"/>
        <c:tickMarkSkip val="1"/>
        <c:noMultiLvlLbl val="0"/>
      </c:catAx>
      <c:valAx>
        <c:axId val="185621120"/>
        <c:scaling>
          <c:orientation val="minMax"/>
        </c:scaling>
        <c:delete val="0"/>
        <c:axPos val="b"/>
        <c:title>
          <c:tx>
            <c:rich>
              <a:bodyPr/>
              <a:lstStyle/>
              <a:p>
                <a:pPr>
                  <a:defRPr sz="925" b="1" i="0" u="none" strike="noStrike" baseline="0">
                    <a:solidFill>
                      <a:srgbClr val="000000"/>
                    </a:solidFill>
                    <a:latin typeface="Arial"/>
                    <a:ea typeface="Arial"/>
                    <a:cs typeface="Arial"/>
                  </a:defRPr>
                </a:pPr>
                <a:r>
                  <a:rPr lang="en-AU"/>
                  <a:t>% fed</a:t>
                </a:r>
              </a:p>
            </c:rich>
          </c:tx>
          <c:layout>
            <c:manualLayout>
              <c:xMode val="edge"/>
              <c:yMode val="edge"/>
              <c:x val="0.54414125200642049"/>
              <c:y val="0.91267595860862216"/>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85619584"/>
        <c:crosses val="autoZero"/>
        <c:crossBetween val="between"/>
      </c:valAx>
      <c:spPr>
        <a:solidFill>
          <a:srgbClr val="FFFFFF"/>
        </a:solidFill>
        <a:ln w="12700">
          <a:solidFill>
            <a:srgbClr val="808080"/>
          </a:solidFill>
          <a:prstDash val="solid"/>
        </a:ln>
      </c:spPr>
    </c:plotArea>
    <c:legend>
      <c:legendPos val="r"/>
      <c:layout>
        <c:manualLayout>
          <c:xMode val="edge"/>
          <c:yMode val="edge"/>
          <c:x val="0.6725521669341894"/>
          <c:y val="0.2183914079705554"/>
          <c:w val="0.2568218298555377"/>
          <c:h val="0.14080489938757657"/>
        </c:manualLayout>
      </c:layout>
      <c:overlay val="0"/>
      <c:spPr>
        <a:solidFill>
          <a:srgbClr val="FFFFFF"/>
        </a:solidFill>
        <a:ln w="25400">
          <a:noFill/>
        </a:ln>
      </c:spPr>
      <c:txPr>
        <a:bodyPr/>
        <a:lstStyle/>
        <a:p>
          <a:pPr>
            <a:defRPr sz="1350" b="1"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1" i="0" u="none" strike="noStrike" baseline="0">
                <a:solidFill>
                  <a:srgbClr val="000000"/>
                </a:solidFill>
                <a:latin typeface="Arial"/>
                <a:ea typeface="Arial"/>
                <a:cs typeface="Arial"/>
              </a:defRPr>
            </a:pPr>
            <a:r>
              <a:rPr lang="en-AU"/>
              <a:t>Ration Components</a:t>
            </a:r>
          </a:p>
        </c:rich>
      </c:tx>
      <c:layout>
        <c:manualLayout>
          <c:xMode val="edge"/>
          <c:yMode val="edge"/>
          <c:x val="0.38275348560153383"/>
          <c:y val="3.7008494505562692E-2"/>
        </c:manualLayout>
      </c:layout>
      <c:overlay val="0"/>
      <c:spPr>
        <a:noFill/>
        <a:ln w="25400">
          <a:noFill/>
        </a:ln>
      </c:spPr>
    </c:title>
    <c:autoTitleDeleted val="0"/>
    <c:plotArea>
      <c:layout>
        <c:manualLayout>
          <c:layoutTarget val="inner"/>
          <c:xMode val="edge"/>
          <c:yMode val="edge"/>
          <c:x val="0.18783268382836457"/>
          <c:y val="0.15959955546319471"/>
          <c:w val="0.77791083208162304"/>
          <c:h val="0.70547629588803451"/>
        </c:manualLayout>
      </c:layout>
      <c:barChart>
        <c:barDir val="bar"/>
        <c:grouping val="clustered"/>
        <c:varyColors val="0"/>
        <c:ser>
          <c:idx val="0"/>
          <c:order val="0"/>
          <c:tx>
            <c:strRef>
              <c:f>Rations!$W$8</c:f>
              <c:strCache>
                <c:ptCount val="1"/>
                <c:pt idx="0">
                  <c:v>Starter</c:v>
                </c:pt>
              </c:strCache>
            </c:strRef>
          </c:tx>
          <c:spPr>
            <a:solidFill>
              <a:srgbClr val="FF0000"/>
            </a:solidFill>
            <a:ln w="12700">
              <a:solidFill>
                <a:srgbClr val="000000"/>
              </a:solidFill>
              <a:prstDash val="solid"/>
            </a:ln>
          </c:spPr>
          <c:invertIfNegative val="0"/>
          <c:dLbls>
            <c:spPr>
              <a:noFill/>
              <a:ln w="25400">
                <a:noFill/>
              </a:ln>
            </c:spPr>
            <c:txPr>
              <a:bodyPr/>
              <a:lstStyle/>
              <a:p>
                <a:pPr algn="ctr" rtl="1">
                  <a:defRPr sz="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cat>
            <c:strRef>
              <c:f>Rations!$T$9:$T$14</c:f>
              <c:strCache>
                <c:ptCount val="6"/>
                <c:pt idx="0">
                  <c:v>Grains</c:v>
                </c:pt>
                <c:pt idx="1">
                  <c:v>Meals</c:v>
                </c:pt>
                <c:pt idx="2">
                  <c:v>Additives</c:v>
                </c:pt>
                <c:pt idx="3">
                  <c:v>Other Feeds</c:v>
                </c:pt>
                <c:pt idx="4">
                  <c:v>Straw/Hay</c:v>
                </c:pt>
                <c:pt idx="5">
                  <c:v>Silage</c:v>
                </c:pt>
              </c:strCache>
            </c:strRef>
          </c:cat>
          <c:val>
            <c:numRef>
              <c:f>Rations!$W$9:$W$14</c:f>
              <c:numCache>
                <c:formatCode>0</c:formatCode>
                <c:ptCount val="6"/>
                <c:pt idx="0">
                  <c:v>0</c:v>
                </c:pt>
                <c:pt idx="1">
                  <c:v>0</c:v>
                </c:pt>
                <c:pt idx="2">
                  <c:v>0</c:v>
                </c:pt>
                <c:pt idx="3">
                  <c:v>0</c:v>
                </c:pt>
                <c:pt idx="4">
                  <c:v>0</c:v>
                </c:pt>
                <c:pt idx="5">
                  <c:v>0</c:v>
                </c:pt>
              </c:numCache>
            </c:numRef>
          </c:val>
        </c:ser>
        <c:ser>
          <c:idx val="1"/>
          <c:order val="1"/>
          <c:tx>
            <c:strRef>
              <c:f>Rations!$X$8</c:f>
              <c:strCache>
                <c:ptCount val="1"/>
                <c:pt idx="0">
                  <c:v>Intermediate</c:v>
                </c:pt>
              </c:strCache>
            </c:strRef>
          </c:tx>
          <c:spPr>
            <a:solidFill>
              <a:srgbClr val="00FF00"/>
            </a:solidFill>
            <a:ln w="12700">
              <a:solidFill>
                <a:srgbClr val="000000"/>
              </a:solidFill>
              <a:prstDash val="solid"/>
            </a:ln>
          </c:spPr>
          <c:invertIfNegative val="0"/>
          <c:dLbls>
            <c:spPr>
              <a:noFill/>
              <a:ln w="25400">
                <a:noFill/>
              </a:ln>
            </c:spPr>
            <c:txPr>
              <a:bodyPr/>
              <a:lstStyle/>
              <a:p>
                <a:pPr algn="ctr" rtl="1">
                  <a:defRPr sz="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val>
            <c:numRef>
              <c:f>Rations!$X$9:$X$14</c:f>
              <c:numCache>
                <c:formatCode>0</c:formatCode>
                <c:ptCount val="6"/>
                <c:pt idx="0">
                  <c:v>0</c:v>
                </c:pt>
                <c:pt idx="1">
                  <c:v>0</c:v>
                </c:pt>
                <c:pt idx="2">
                  <c:v>0</c:v>
                </c:pt>
                <c:pt idx="3">
                  <c:v>0</c:v>
                </c:pt>
                <c:pt idx="4">
                  <c:v>0</c:v>
                </c:pt>
                <c:pt idx="5">
                  <c:v>0</c:v>
                </c:pt>
              </c:numCache>
            </c:numRef>
          </c:val>
        </c:ser>
        <c:ser>
          <c:idx val="2"/>
          <c:order val="2"/>
          <c:tx>
            <c:strRef>
              <c:f>Rations!$Y$8</c:f>
              <c:strCache>
                <c:ptCount val="1"/>
                <c:pt idx="0">
                  <c:v>Finisher</c:v>
                </c:pt>
              </c:strCache>
            </c:strRef>
          </c:tx>
          <c:spPr>
            <a:solidFill>
              <a:srgbClr val="0000FF"/>
            </a:solidFill>
            <a:ln w="12700">
              <a:solidFill>
                <a:srgbClr val="000000"/>
              </a:solidFill>
              <a:prstDash val="solid"/>
            </a:ln>
          </c:spPr>
          <c:invertIfNegative val="0"/>
          <c:val>
            <c:numRef>
              <c:f>Rations!$Y$9:$Y$14</c:f>
              <c:numCache>
                <c:formatCode>0</c:formatCode>
                <c:ptCount val="6"/>
                <c:pt idx="0">
                  <c:v>0</c:v>
                </c:pt>
                <c:pt idx="1">
                  <c:v>0</c:v>
                </c:pt>
                <c:pt idx="2">
                  <c:v>0</c:v>
                </c:pt>
                <c:pt idx="3">
                  <c:v>100</c:v>
                </c:pt>
                <c:pt idx="4">
                  <c:v>0</c:v>
                </c:pt>
                <c:pt idx="5">
                  <c:v>0</c:v>
                </c:pt>
              </c:numCache>
            </c:numRef>
          </c:val>
        </c:ser>
        <c:dLbls>
          <c:showLegendKey val="0"/>
          <c:showVal val="0"/>
          <c:showCatName val="0"/>
          <c:showSerName val="0"/>
          <c:showPercent val="0"/>
          <c:showBubbleSize val="0"/>
        </c:dLbls>
        <c:gapWidth val="150"/>
        <c:axId val="186873728"/>
        <c:axId val="186875264"/>
      </c:barChart>
      <c:catAx>
        <c:axId val="18687372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825" b="1" i="0" u="none" strike="noStrike" baseline="0">
                <a:solidFill>
                  <a:srgbClr val="000000"/>
                </a:solidFill>
                <a:latin typeface="Arial"/>
                <a:ea typeface="Arial"/>
                <a:cs typeface="Arial"/>
              </a:defRPr>
            </a:pPr>
            <a:endParaRPr lang="en-US"/>
          </a:p>
        </c:txPr>
        <c:crossAx val="186875264"/>
        <c:crosses val="autoZero"/>
        <c:auto val="1"/>
        <c:lblAlgn val="ctr"/>
        <c:lblOffset val="100"/>
        <c:tickLblSkip val="1"/>
        <c:tickMarkSkip val="1"/>
        <c:noMultiLvlLbl val="0"/>
      </c:catAx>
      <c:valAx>
        <c:axId val="186875264"/>
        <c:scaling>
          <c:orientation val="minMax"/>
        </c:scaling>
        <c:delete val="0"/>
        <c:axPos val="b"/>
        <c:title>
          <c:tx>
            <c:rich>
              <a:bodyPr/>
              <a:lstStyle/>
              <a:p>
                <a:pPr>
                  <a:defRPr sz="900" b="1" i="0" u="none" strike="noStrike" baseline="0">
                    <a:solidFill>
                      <a:srgbClr val="000000"/>
                    </a:solidFill>
                    <a:latin typeface="Arial"/>
                    <a:ea typeface="Arial"/>
                    <a:cs typeface="Arial"/>
                  </a:defRPr>
                </a:pPr>
                <a:r>
                  <a:rPr lang="en-AU"/>
                  <a:t>% fed</a:t>
                </a:r>
              </a:p>
            </c:rich>
          </c:tx>
          <c:layout>
            <c:manualLayout>
              <c:xMode val="edge"/>
              <c:yMode val="edge"/>
              <c:x val="0.54577800115411101"/>
              <c:y val="0.92752778243145129"/>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86873728"/>
        <c:crosses val="autoZero"/>
        <c:crossBetween val="between"/>
      </c:valAx>
      <c:spPr>
        <a:solidFill>
          <a:srgbClr val="FFFFFF"/>
        </a:solidFill>
        <a:ln w="12700">
          <a:solidFill>
            <a:srgbClr val="808080"/>
          </a:solidFill>
          <a:prstDash val="solid"/>
        </a:ln>
      </c:spPr>
    </c:plotArea>
    <c:legend>
      <c:legendPos val="r"/>
      <c:layout>
        <c:manualLayout>
          <c:xMode val="edge"/>
          <c:yMode val="edge"/>
          <c:x val="0.6702138828391131"/>
          <c:y val="0.1843976595124191"/>
          <c:w val="0.28191545205785451"/>
          <c:h val="0.1134754255008904"/>
        </c:manualLayout>
      </c:layout>
      <c:overlay val="0"/>
      <c:spPr>
        <a:solidFill>
          <a:srgbClr val="FFFFFF"/>
        </a:solidFill>
        <a:ln w="25400">
          <a:noFill/>
        </a:ln>
      </c:spPr>
      <c:txPr>
        <a:bodyPr/>
        <a:lstStyle/>
        <a:p>
          <a:pPr>
            <a:defRPr sz="1010" b="1"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50" b="1" i="0" u="none" strike="noStrike" baseline="0">
                <a:solidFill>
                  <a:srgbClr val="000000"/>
                </a:solidFill>
                <a:latin typeface="Arial"/>
                <a:ea typeface="Arial"/>
                <a:cs typeface="Arial"/>
              </a:defRPr>
            </a:pPr>
            <a:r>
              <a:rPr lang="en-AU"/>
              <a:t>Breakup of costs/lamb ($)</a:t>
            </a:r>
          </a:p>
        </c:rich>
      </c:tx>
      <c:layout>
        <c:manualLayout>
          <c:xMode val="edge"/>
          <c:yMode val="edge"/>
          <c:x val="0.43138366324899041"/>
          <c:y val="9.8619864297784694E-3"/>
        </c:manualLayout>
      </c:layout>
      <c:overlay val="0"/>
      <c:spPr>
        <a:noFill/>
        <a:ln w="25400">
          <a:noFill/>
        </a:ln>
      </c:spPr>
    </c:title>
    <c:autoTitleDeleted val="0"/>
    <c:plotArea>
      <c:layout>
        <c:manualLayout>
          <c:layoutTarget val="inner"/>
          <c:xMode val="edge"/>
          <c:yMode val="edge"/>
          <c:x val="0.2099510169822745"/>
          <c:y val="0.15581854043392504"/>
          <c:w val="0.55440190421881863"/>
          <c:h val="0.66666666666666663"/>
        </c:manualLayout>
      </c:layout>
      <c:pieChart>
        <c:varyColors val="1"/>
        <c:ser>
          <c:idx val="0"/>
          <c:order val="0"/>
          <c:spPr>
            <a:solidFill>
              <a:srgbClr val="9999FF"/>
            </a:solidFill>
            <a:ln w="12700">
              <a:solidFill>
                <a:srgbClr val="000000"/>
              </a:solidFill>
              <a:prstDash val="solid"/>
            </a:ln>
          </c:spPr>
          <c:explosion val="8"/>
          <c:dPt>
            <c:idx val="0"/>
            <c:bubble3D val="0"/>
            <c:spPr>
              <a:blipFill dpi="0" rotWithShape="0">
                <a:blip xmlns:r="http://schemas.openxmlformats.org/officeDocument/2006/relationships"/>
                <a:srcRect/>
                <a:tile tx="0" ty="0" sx="100000" sy="100000" flip="none" algn="tl"/>
              </a:blipFill>
              <a:ln w="12700">
                <a:solidFill>
                  <a:srgbClr val="000000"/>
                </a:solidFill>
                <a:prstDash val="solid"/>
              </a:ln>
            </c:spPr>
          </c:dPt>
          <c:dPt>
            <c:idx val="1"/>
            <c:bubble3D val="0"/>
            <c:spPr>
              <a:blipFill dpi="0" rotWithShape="0">
                <a:blip xmlns:r="http://schemas.openxmlformats.org/officeDocument/2006/relationships"/>
                <a:srcRect/>
                <a:tile tx="0" ty="0" sx="100000" sy="100000" flip="none" algn="tl"/>
              </a:blipFill>
              <a:ln w="12700">
                <a:solidFill>
                  <a:srgbClr val="000000"/>
                </a:solidFill>
                <a:prstDash val="solid"/>
              </a:ln>
            </c:spPr>
          </c:dPt>
          <c:dPt>
            <c:idx val="2"/>
            <c:bubble3D val="0"/>
            <c:spPr>
              <a:solidFill>
                <a:srgbClr val="000000"/>
              </a:solidFill>
              <a:ln w="12700">
                <a:solidFill>
                  <a:srgbClr val="000000"/>
                </a:solidFill>
                <a:prstDash val="solid"/>
              </a:ln>
            </c:spPr>
          </c:dPt>
          <c:dPt>
            <c:idx val="3"/>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dPt>
          <c:dPt>
            <c:idx val="4"/>
            <c:bubble3D val="0"/>
            <c:spPr>
              <a:blipFill dpi="0" rotWithShape="0">
                <a:blip xmlns:r="http://schemas.openxmlformats.org/officeDocument/2006/relationships"/>
                <a:srcRect/>
                <a:tile tx="0" ty="0" sx="100000" sy="100000" flip="none" algn="tl"/>
              </a:blipFill>
              <a:ln w="12700">
                <a:solidFill>
                  <a:srgbClr val="000000"/>
                </a:solidFill>
                <a:prstDash val="solid"/>
              </a:ln>
            </c:spPr>
          </c:dPt>
          <c:dPt>
            <c:idx val="5"/>
            <c:bubble3D val="0"/>
            <c:spPr>
              <a:solidFill>
                <a:srgbClr val="000000"/>
              </a:solidFill>
              <a:ln w="12700">
                <a:solidFill>
                  <a:srgbClr val="000000"/>
                </a:solidFill>
                <a:prstDash val="solid"/>
              </a:ln>
            </c:spPr>
          </c:dPt>
          <c:dLbls>
            <c:dLbl>
              <c:idx val="0"/>
              <c:layout>
                <c:manualLayout>
                  <c:x val="-3.8943568159482717E-2"/>
                  <c:y val="0.14226879741677742"/>
                </c:manualLayout>
              </c:layout>
              <c:dLblPos val="bestFit"/>
              <c:showLegendKey val="0"/>
              <c:showVal val="1"/>
              <c:showCatName val="1"/>
              <c:showSerName val="0"/>
              <c:showPercent val="0"/>
              <c:showBubbleSize val="0"/>
            </c:dLbl>
            <c:dLbl>
              <c:idx val="1"/>
              <c:layout>
                <c:manualLayout>
                  <c:x val="0.19475371369325759"/>
                  <c:y val="0.24046172756410636"/>
                </c:manualLayout>
              </c:layout>
              <c:dLblPos val="bestFit"/>
              <c:showLegendKey val="0"/>
              <c:showVal val="1"/>
              <c:showCatName val="1"/>
              <c:showSerName val="0"/>
              <c:showPercent val="0"/>
              <c:showBubbleSize val="0"/>
            </c:dLbl>
            <c:dLbl>
              <c:idx val="2"/>
              <c:layout>
                <c:manualLayout>
                  <c:x val="-3.6526980009488575E-3"/>
                  <c:y val="-1.6189019170690693E-2"/>
                </c:manualLayout>
              </c:layout>
              <c:dLblPos val="bestFit"/>
              <c:showLegendKey val="0"/>
              <c:showVal val="1"/>
              <c:showCatName val="1"/>
              <c:showSerName val="0"/>
              <c:showPercent val="0"/>
              <c:showBubbleSize val="0"/>
            </c:dLbl>
            <c:dLbl>
              <c:idx val="3"/>
              <c:layout>
                <c:manualLayout>
                  <c:x val="6.6124819823900519E-2"/>
                  <c:y val="-0.17859874267763218"/>
                </c:manualLayout>
              </c:layout>
              <c:dLblPos val="bestFit"/>
              <c:showLegendKey val="0"/>
              <c:showVal val="1"/>
              <c:showCatName val="1"/>
              <c:showSerName val="0"/>
              <c:showPercent val="0"/>
              <c:showBubbleSize val="0"/>
            </c:dLbl>
            <c:dLbl>
              <c:idx val="4"/>
              <c:layout/>
              <c:dLblPos val="bestFit"/>
              <c:showLegendKey val="0"/>
              <c:showVal val="1"/>
              <c:showCatName val="1"/>
              <c:showSerName val="0"/>
              <c:showPercent val="0"/>
              <c:showBubbleSize val="0"/>
            </c:dLbl>
            <c:dLbl>
              <c:idx val="5"/>
              <c:layout>
                <c:manualLayout>
                  <c:x val="0.22988850774615804"/>
                  <c:y val="5.3446950484030541E-3"/>
                </c:manualLayout>
              </c:layout>
              <c:dLblPos val="bestFit"/>
              <c:showLegendKey val="0"/>
              <c:showVal val="1"/>
              <c:showCatName val="1"/>
              <c:showSerName val="0"/>
              <c:showPercent val="0"/>
              <c:showBubbleSize val="0"/>
            </c:dLbl>
            <c:spPr>
              <a:noFill/>
              <a:ln w="25400">
                <a:noFill/>
              </a:ln>
            </c:spPr>
            <c:txPr>
              <a:bodyPr/>
              <a:lstStyle/>
              <a:p>
                <a:pPr>
                  <a:defRPr sz="1650" b="0" i="0" u="none" strike="noStrike" baseline="0">
                    <a:solidFill>
                      <a:srgbClr val="000000"/>
                    </a:solidFill>
                    <a:latin typeface="Arial"/>
                    <a:ea typeface="Arial"/>
                    <a:cs typeface="Arial"/>
                  </a:defRPr>
                </a:pPr>
                <a:endParaRPr lang="en-US"/>
              </a:p>
            </c:txPr>
            <c:showLegendKey val="0"/>
            <c:showVal val="1"/>
            <c:showCatName val="1"/>
            <c:showSerName val="0"/>
            <c:showPercent val="0"/>
            <c:showBubbleSize val="0"/>
            <c:showLeaderLines val="1"/>
          </c:dLbls>
          <c:cat>
            <c:strRef>
              <c:f>ProfitLoss!$Y$6:$Y$11</c:f>
              <c:strCache>
                <c:ptCount val="6"/>
                <c:pt idx="0">
                  <c:v>Purchase </c:v>
                </c:pt>
                <c:pt idx="1">
                  <c:v>Selling </c:v>
                </c:pt>
                <c:pt idx="2">
                  <c:v>Running </c:v>
                </c:pt>
                <c:pt idx="3">
                  <c:v>Labour</c:v>
                </c:pt>
                <c:pt idx="4">
                  <c:v>Feed</c:v>
                </c:pt>
                <c:pt idx="5">
                  <c:v>Fixed</c:v>
                </c:pt>
              </c:strCache>
            </c:strRef>
          </c:cat>
          <c:val>
            <c:numRef>
              <c:f>ProfitLoss!$AA$6:$AA$11</c:f>
              <c:numCache>
                <c:formatCode>0.00</c:formatCode>
                <c:ptCount val="6"/>
                <c:pt idx="0">
                  <c:v>113</c:v>
                </c:pt>
                <c:pt idx="1">
                  <c:v>12.967900176125244</c:v>
                </c:pt>
                <c:pt idx="2">
                  <c:v>5.3819999999999997</c:v>
                </c:pt>
                <c:pt idx="3">
                  <c:v>2.1428571428571428</c:v>
                </c:pt>
                <c:pt idx="4">
                  <c:v>22.561000000000003</c:v>
                </c:pt>
                <c:pt idx="5">
                  <c:v>0</c:v>
                </c:pt>
              </c:numCache>
            </c:numRef>
          </c:val>
        </c:ser>
        <c:dLbls>
          <c:showLegendKey val="0"/>
          <c:showVal val="0"/>
          <c:showCatName val="0"/>
          <c:showSerName val="0"/>
          <c:showPercent val="0"/>
          <c:showBubbleSize val="0"/>
          <c:showLeaderLines val="1"/>
        </c:dLbls>
        <c:firstSliceAng val="0"/>
      </c:pieChart>
      <c:spPr>
        <a:solidFill>
          <a:srgbClr val="FFFFFF"/>
        </a:solidFill>
        <a:ln w="12700">
          <a:solidFill>
            <a:srgbClr val="FFFFFF"/>
          </a:solidFill>
          <a:prstDash val="solid"/>
        </a:ln>
      </c:spPr>
    </c:plotArea>
    <c:plotVisOnly val="1"/>
    <c:dispBlanksAs val="zero"/>
    <c:showDLblsOverMax val="0"/>
  </c:chart>
  <c:spPr>
    <a:solidFill>
      <a:srgbClr val="FFFFFF"/>
    </a:solidFill>
    <a:ln w="9525">
      <a:noFill/>
    </a:ln>
  </c:spPr>
  <c:txPr>
    <a:bodyPr/>
    <a:lstStyle/>
    <a:p>
      <a:pPr>
        <a:defRPr sz="9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3"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AU"/>
              <a:t>Effects of changing main input costs</a:t>
            </a:r>
          </a:p>
        </c:rich>
      </c:tx>
      <c:layout>
        <c:manualLayout>
          <c:xMode val="edge"/>
          <c:yMode val="edge"/>
          <c:x val="0.162291169451074"/>
          <c:y val="3.3591762568140525E-2"/>
        </c:manualLayout>
      </c:layout>
      <c:overlay val="0"/>
      <c:spPr>
        <a:noFill/>
        <a:ln w="25400">
          <a:noFill/>
        </a:ln>
      </c:spPr>
    </c:title>
    <c:autoTitleDeleted val="0"/>
    <c:plotArea>
      <c:layout>
        <c:manualLayout>
          <c:layoutTarget val="inner"/>
          <c:xMode val="edge"/>
          <c:yMode val="edge"/>
          <c:x val="0.27207637231503579"/>
          <c:y val="0.15503875968992248"/>
          <c:w val="0.70405727923627681"/>
          <c:h val="0.68217054263565891"/>
        </c:manualLayout>
      </c:layout>
      <c:barChart>
        <c:barDir val="bar"/>
        <c:grouping val="clustered"/>
        <c:varyColors val="0"/>
        <c:ser>
          <c:idx val="0"/>
          <c:order val="0"/>
          <c:spPr>
            <a:solidFill>
              <a:srgbClr val="000000"/>
            </a:solidFill>
            <a:ln w="12700">
              <a:solidFill>
                <a:srgbClr val="000000"/>
              </a:solidFill>
              <a:prstDash val="solid"/>
            </a:ln>
          </c:spPr>
          <c:invertIfNegative val="0"/>
          <c:cat>
            <c:strRef>
              <c:f>ProfitLoss!$Y$19:$Y$20</c:f>
              <c:strCache>
                <c:ptCount val="2"/>
                <c:pt idx="0">
                  <c:v>Decrease in feed ($tonneDM) by 10%</c:v>
                </c:pt>
                <c:pt idx="1">
                  <c:v>Decrease in lambs start value by 10 cents/LWT</c:v>
                </c:pt>
              </c:strCache>
            </c:strRef>
          </c:cat>
          <c:val>
            <c:numRef>
              <c:f>ProfitLoss!$AB$19:$AB$20</c:f>
              <c:numCache>
                <c:formatCode>0.00</c:formatCode>
                <c:ptCount val="2"/>
                <c:pt idx="0">
                  <c:v>2.1560000000000001</c:v>
                </c:pt>
                <c:pt idx="1">
                  <c:v>3.8000000000000003</c:v>
                </c:pt>
              </c:numCache>
            </c:numRef>
          </c:val>
        </c:ser>
        <c:dLbls>
          <c:showLegendKey val="0"/>
          <c:showVal val="0"/>
          <c:showCatName val="0"/>
          <c:showSerName val="0"/>
          <c:showPercent val="0"/>
          <c:showBubbleSize val="0"/>
        </c:dLbls>
        <c:gapWidth val="260"/>
        <c:axId val="186966784"/>
        <c:axId val="186968320"/>
      </c:barChart>
      <c:catAx>
        <c:axId val="18696678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en-US"/>
          </a:p>
        </c:txPr>
        <c:crossAx val="186968320"/>
        <c:crosses val="autoZero"/>
        <c:auto val="1"/>
        <c:lblAlgn val="ctr"/>
        <c:lblOffset val="100"/>
        <c:tickLblSkip val="1"/>
        <c:tickMarkSkip val="1"/>
        <c:noMultiLvlLbl val="0"/>
      </c:catAx>
      <c:valAx>
        <c:axId val="186968320"/>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AU"/>
                  <a:t>Increase in profit/lamb ($)</a:t>
                </a:r>
              </a:p>
            </c:rich>
          </c:tx>
          <c:layout>
            <c:manualLayout>
              <c:xMode val="edge"/>
              <c:yMode val="edge"/>
              <c:x val="0.38902147971360385"/>
              <c:y val="0.9147285820041726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en-US"/>
          </a:p>
        </c:txPr>
        <c:crossAx val="186966784"/>
        <c:crosses val="autoZero"/>
        <c:crossBetween val="between"/>
      </c:valAx>
      <c:spPr>
        <a:solidFill>
          <a:srgbClr val="FFFFFF"/>
        </a:solidFill>
        <a:ln w="12700">
          <a:solidFill>
            <a:srgbClr val="808080"/>
          </a:solidFill>
          <a:prstDash val="solid"/>
        </a:ln>
      </c:spPr>
    </c:plotArea>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3"/>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A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AU"/>
              <a:t>Effect of change in selling price on per head  profit</a:t>
            </a:r>
          </a:p>
        </c:rich>
      </c:tx>
      <c:layout>
        <c:manualLayout>
          <c:xMode val="edge"/>
          <c:yMode val="edge"/>
          <c:x val="0.1158218092897841"/>
          <c:y val="3.3247965216469152E-2"/>
        </c:manualLayout>
      </c:layout>
      <c:overlay val="0"/>
      <c:spPr>
        <a:noFill/>
        <a:ln w="25400">
          <a:noFill/>
        </a:ln>
      </c:spPr>
    </c:title>
    <c:autoTitleDeleted val="0"/>
    <c:plotArea>
      <c:layout>
        <c:manualLayout>
          <c:layoutTarget val="inner"/>
          <c:xMode val="edge"/>
          <c:yMode val="edge"/>
          <c:x val="0.24601394105693544"/>
          <c:y val="0.24242484026012137"/>
          <c:w val="0.72209647513933828"/>
          <c:h val="0.60858735940301301"/>
        </c:manualLayout>
      </c:layout>
      <c:lineChart>
        <c:grouping val="standard"/>
        <c:varyColors val="0"/>
        <c:ser>
          <c:idx val="0"/>
          <c:order val="0"/>
          <c:spPr>
            <a:ln w="25400">
              <a:solidFill>
                <a:srgbClr val="000000"/>
              </a:solidFill>
              <a:prstDash val="solid"/>
            </a:ln>
          </c:spPr>
          <c:marker>
            <c:symbol val="none"/>
          </c:marker>
          <c:dPt>
            <c:idx val="8"/>
            <c:marker>
              <c:symbol val="diamond"/>
              <c:size val="7"/>
              <c:spPr>
                <a:solidFill>
                  <a:srgbClr val="000000"/>
                </a:solidFill>
                <a:ln>
                  <a:solidFill>
                    <a:srgbClr val="000000"/>
                  </a:solidFill>
                  <a:prstDash val="solid"/>
                </a:ln>
              </c:spPr>
            </c:marker>
            <c:bubble3D val="0"/>
            <c:spPr>
              <a:ln w="25400">
                <a:solidFill>
                  <a:srgbClr val="000000"/>
                </a:solidFill>
                <a:prstDash val="solid"/>
              </a:ln>
            </c:spPr>
          </c:dPt>
          <c:cat>
            <c:numRef>
              <c:f>ProfitLoss!$AE$10:$AE$26</c:f>
              <c:numCache>
                <c:formatCode>0.00</c:formatCode>
                <c:ptCount val="17"/>
                <c:pt idx="0">
                  <c:v>5.09</c:v>
                </c:pt>
                <c:pt idx="1">
                  <c:v>5.1899999999999995</c:v>
                </c:pt>
                <c:pt idx="2">
                  <c:v>5.2899999999999991</c:v>
                </c:pt>
                <c:pt idx="3">
                  <c:v>5.3899999999999988</c:v>
                </c:pt>
                <c:pt idx="4">
                  <c:v>5.4899999999999984</c:v>
                </c:pt>
                <c:pt idx="5">
                  <c:v>5.5899999999999981</c:v>
                </c:pt>
                <c:pt idx="6">
                  <c:v>5.6899999999999977</c:v>
                </c:pt>
                <c:pt idx="7">
                  <c:v>5.7899999999999974</c:v>
                </c:pt>
                <c:pt idx="8">
                  <c:v>5.889999999999997</c:v>
                </c:pt>
                <c:pt idx="9">
                  <c:v>5.9899999999999967</c:v>
                </c:pt>
                <c:pt idx="10">
                  <c:v>6.0899999999999963</c:v>
                </c:pt>
                <c:pt idx="11">
                  <c:v>6.1899999999999959</c:v>
                </c:pt>
                <c:pt idx="12">
                  <c:v>6.2899999999999956</c:v>
                </c:pt>
                <c:pt idx="13">
                  <c:v>6.3899999999999952</c:v>
                </c:pt>
                <c:pt idx="14">
                  <c:v>6.4899999999999949</c:v>
                </c:pt>
                <c:pt idx="15">
                  <c:v>6.5899999999999945</c:v>
                </c:pt>
                <c:pt idx="16">
                  <c:v>6.6899999999999942</c:v>
                </c:pt>
              </c:numCache>
            </c:numRef>
          </c:cat>
          <c:val>
            <c:numRef>
              <c:f>ProfitLoss!$AN$10:$AN$26</c:f>
              <c:numCache>
                <c:formatCode>0.00</c:formatCode>
                <c:ptCount val="17"/>
                <c:pt idx="0">
                  <c:v>-16.134097318982356</c:v>
                </c:pt>
                <c:pt idx="1">
                  <c:v>-13.856697318982356</c:v>
                </c:pt>
                <c:pt idx="2">
                  <c:v>-11.579297318982379</c:v>
                </c:pt>
                <c:pt idx="3">
                  <c:v>-9.3018973189823804</c:v>
                </c:pt>
                <c:pt idx="4">
                  <c:v>-7.0244973189823794</c:v>
                </c:pt>
                <c:pt idx="5">
                  <c:v>-4.7470973189824024</c:v>
                </c:pt>
                <c:pt idx="6">
                  <c:v>-2.4696973189824027</c:v>
                </c:pt>
                <c:pt idx="7">
                  <c:v>-0.19229731898240279</c:v>
                </c:pt>
                <c:pt idx="8">
                  <c:v>2.0851026810175508</c:v>
                </c:pt>
                <c:pt idx="9">
                  <c:v>4.3625026810175509</c:v>
                </c:pt>
                <c:pt idx="10">
                  <c:v>6.639902681017551</c:v>
                </c:pt>
                <c:pt idx="11">
                  <c:v>8.9173026810175511</c:v>
                </c:pt>
                <c:pt idx="12">
                  <c:v>11.194702681017551</c:v>
                </c:pt>
                <c:pt idx="13">
                  <c:v>13.472102681017503</c:v>
                </c:pt>
                <c:pt idx="14">
                  <c:v>15.749502681017503</c:v>
                </c:pt>
                <c:pt idx="15">
                  <c:v>18.026902681017503</c:v>
                </c:pt>
                <c:pt idx="16">
                  <c:v>20.304302681017482</c:v>
                </c:pt>
              </c:numCache>
            </c:numRef>
          </c:val>
          <c:smooth val="0"/>
        </c:ser>
        <c:dLbls>
          <c:showLegendKey val="0"/>
          <c:showVal val="0"/>
          <c:showCatName val="0"/>
          <c:showSerName val="0"/>
          <c:showPercent val="0"/>
          <c:showBubbleSize val="0"/>
        </c:dLbls>
        <c:marker val="1"/>
        <c:smooth val="0"/>
        <c:axId val="187005952"/>
        <c:axId val="187008128"/>
      </c:lineChart>
      <c:catAx>
        <c:axId val="187005952"/>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AU"/>
                  <a:t>HCWT selling price</a:t>
                </a:r>
              </a:p>
            </c:rich>
          </c:tx>
          <c:layout>
            <c:manualLayout>
              <c:xMode val="edge"/>
              <c:yMode val="edge"/>
              <c:x val="0.42013739170986314"/>
              <c:y val="0.88746811951536353"/>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5400000" vert="horz"/>
          <a:lstStyle/>
          <a:p>
            <a:pPr>
              <a:defRPr sz="1100" b="0" i="0" u="none" strike="noStrike" baseline="0">
                <a:solidFill>
                  <a:srgbClr val="000000"/>
                </a:solidFill>
                <a:latin typeface="Arial"/>
                <a:ea typeface="Arial"/>
                <a:cs typeface="Arial"/>
              </a:defRPr>
            </a:pPr>
            <a:endParaRPr lang="en-US"/>
          </a:p>
        </c:txPr>
        <c:crossAx val="187008128"/>
        <c:crosses val="autoZero"/>
        <c:auto val="1"/>
        <c:lblAlgn val="ctr"/>
        <c:lblOffset val="100"/>
        <c:tickLblSkip val="2"/>
        <c:tickMarkSkip val="1"/>
        <c:noMultiLvlLbl val="0"/>
      </c:catAx>
      <c:valAx>
        <c:axId val="187008128"/>
        <c:scaling>
          <c:orientation val="minMax"/>
        </c:scaling>
        <c:delete val="0"/>
        <c:axPos val="l"/>
        <c:title>
          <c:tx>
            <c:rich>
              <a:bodyPr/>
              <a:lstStyle/>
              <a:p>
                <a:pPr>
                  <a:defRPr sz="1200" b="1" i="0" u="none" strike="noStrike" baseline="0">
                    <a:solidFill>
                      <a:srgbClr val="000000"/>
                    </a:solidFill>
                    <a:latin typeface="Arial"/>
                    <a:ea typeface="Arial"/>
                    <a:cs typeface="Arial"/>
                  </a:defRPr>
                </a:pPr>
                <a:r>
                  <a:rPr lang="en-AU"/>
                  <a:t>Profit/head ($)</a:t>
                </a:r>
              </a:p>
            </c:rich>
          </c:tx>
          <c:layout>
            <c:manualLayout>
              <c:xMode val="edge"/>
              <c:yMode val="edge"/>
              <c:x val="3.6336221070316095E-2"/>
              <c:y val="0.36572894297303743"/>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1100" b="1" i="0" u="none" strike="noStrike" baseline="0">
                <a:solidFill>
                  <a:srgbClr val="000000"/>
                </a:solidFill>
                <a:latin typeface="Arial"/>
                <a:ea typeface="Arial"/>
                <a:cs typeface="Arial"/>
              </a:defRPr>
            </a:pPr>
            <a:endParaRPr lang="en-US"/>
          </a:p>
        </c:txPr>
        <c:crossAx val="187005952"/>
        <c:crosses val="autoZero"/>
        <c:crossBetween val="between"/>
      </c:valAx>
      <c:spPr>
        <a:solidFill>
          <a:srgbClr val="FFFFFF"/>
        </a:solidFill>
        <a:ln w="12700">
          <a:solidFill>
            <a:srgbClr val="808080"/>
          </a:solidFill>
          <a:prstDash val="solid"/>
        </a:ln>
      </c:spPr>
    </c:plotArea>
    <c:plotVisOnly val="1"/>
    <c:dispBlanksAs val="gap"/>
    <c:showDLblsOverMax val="0"/>
  </c:chart>
  <c:spPr>
    <a:solidFill>
      <a:srgbClr val="FFFFFF"/>
    </a:solidFill>
    <a:ln w="9525">
      <a:noFill/>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3" verticalDpi="0"/>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9.jpe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9.xml.rels><?xml version="1.0" encoding="UTF-8" standalone="yes"?>
<Relationships xmlns="http://schemas.openxmlformats.org/package/2006/relationships"><Relationship Id="rId2" Type="http://schemas.openxmlformats.org/officeDocument/2006/relationships/image" Target="../media/image45.jpe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46.jpeg"/><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8.xml"/><Relationship Id="rId4" Type="http://schemas.openxmlformats.org/officeDocument/2006/relationships/image" Target="../media/image47.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7.emf"/><Relationship Id="rId13" Type="http://schemas.openxmlformats.org/officeDocument/2006/relationships/image" Target="../media/image15.emf"/><Relationship Id="rId3" Type="http://schemas.openxmlformats.org/officeDocument/2006/relationships/image" Target="../media/image22.emf"/><Relationship Id="rId7" Type="http://schemas.openxmlformats.org/officeDocument/2006/relationships/image" Target="../media/image18.emf"/><Relationship Id="rId12" Type="http://schemas.openxmlformats.org/officeDocument/2006/relationships/image" Target="../media/image11.emf"/><Relationship Id="rId2" Type="http://schemas.openxmlformats.org/officeDocument/2006/relationships/image" Target="../media/image8.emf"/><Relationship Id="rId16" Type="http://schemas.openxmlformats.org/officeDocument/2006/relationships/image" Target="../media/image12.emf"/><Relationship Id="rId1" Type="http://schemas.openxmlformats.org/officeDocument/2006/relationships/image" Target="../media/image7.emf"/><Relationship Id="rId6" Type="http://schemas.openxmlformats.org/officeDocument/2006/relationships/image" Target="../media/image19.emf"/><Relationship Id="rId11" Type="http://schemas.openxmlformats.org/officeDocument/2006/relationships/image" Target="../media/image10.emf"/><Relationship Id="rId5" Type="http://schemas.openxmlformats.org/officeDocument/2006/relationships/image" Target="../media/image20.emf"/><Relationship Id="rId15" Type="http://schemas.openxmlformats.org/officeDocument/2006/relationships/image" Target="../media/image13.emf"/><Relationship Id="rId10" Type="http://schemas.openxmlformats.org/officeDocument/2006/relationships/image" Target="../media/image9.emf"/><Relationship Id="rId4" Type="http://schemas.openxmlformats.org/officeDocument/2006/relationships/image" Target="../media/image21.emf"/><Relationship Id="rId9" Type="http://schemas.openxmlformats.org/officeDocument/2006/relationships/image" Target="../media/image16.emf"/><Relationship Id="rId14" Type="http://schemas.openxmlformats.org/officeDocument/2006/relationships/image" Target="../media/image14.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26.emf"/><Relationship Id="rId2" Type="http://schemas.openxmlformats.org/officeDocument/2006/relationships/image" Target="../media/image27.emf"/><Relationship Id="rId1" Type="http://schemas.openxmlformats.org/officeDocument/2006/relationships/image" Target="../media/image28.emf"/><Relationship Id="rId6" Type="http://schemas.openxmlformats.org/officeDocument/2006/relationships/image" Target="../media/image23.emf"/><Relationship Id="rId5" Type="http://schemas.openxmlformats.org/officeDocument/2006/relationships/image" Target="../media/image24.emf"/><Relationship Id="rId4" Type="http://schemas.openxmlformats.org/officeDocument/2006/relationships/image" Target="../media/image25.emf"/></Relationships>
</file>

<file path=xl/drawings/_rels/vmlDrawing4.vml.rels><?xml version="1.0" encoding="UTF-8" standalone="yes"?>
<Relationships xmlns="http://schemas.openxmlformats.org/package/2006/relationships"><Relationship Id="rId8" Type="http://schemas.openxmlformats.org/officeDocument/2006/relationships/image" Target="../media/image33.emf"/><Relationship Id="rId3" Type="http://schemas.openxmlformats.org/officeDocument/2006/relationships/image" Target="../media/image38.emf"/><Relationship Id="rId7" Type="http://schemas.openxmlformats.org/officeDocument/2006/relationships/image" Target="../media/image34.emf"/><Relationship Id="rId2" Type="http://schemas.openxmlformats.org/officeDocument/2006/relationships/image" Target="../media/image39.emf"/><Relationship Id="rId1" Type="http://schemas.openxmlformats.org/officeDocument/2006/relationships/image" Target="../media/image40.emf"/><Relationship Id="rId6" Type="http://schemas.openxmlformats.org/officeDocument/2006/relationships/image" Target="../media/image35.emf"/><Relationship Id="rId11" Type="http://schemas.openxmlformats.org/officeDocument/2006/relationships/image" Target="../media/image30.emf"/><Relationship Id="rId5" Type="http://schemas.openxmlformats.org/officeDocument/2006/relationships/image" Target="../media/image36.emf"/><Relationship Id="rId10" Type="http://schemas.openxmlformats.org/officeDocument/2006/relationships/image" Target="../media/image31.emf"/><Relationship Id="rId4" Type="http://schemas.openxmlformats.org/officeDocument/2006/relationships/image" Target="../media/image37.emf"/><Relationship Id="rId9" Type="http://schemas.openxmlformats.org/officeDocument/2006/relationships/image" Target="../media/image3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2.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3.emf"/></Relationships>
</file>

<file path=xl/drawings/drawing1.xml><?xml version="1.0" encoding="utf-8"?>
<xdr:wsDr xmlns:xdr="http://schemas.openxmlformats.org/drawingml/2006/spreadsheetDrawing" xmlns:a="http://schemas.openxmlformats.org/drawingml/2006/main">
  <xdr:twoCellAnchor>
    <xdr:from>
      <xdr:col>8</xdr:col>
      <xdr:colOff>95250</xdr:colOff>
      <xdr:row>1</xdr:row>
      <xdr:rowOff>104775</xdr:rowOff>
    </xdr:from>
    <xdr:to>
      <xdr:col>12</xdr:col>
      <xdr:colOff>2152650</xdr:colOff>
      <xdr:row>9</xdr:row>
      <xdr:rowOff>57150</xdr:rowOff>
    </xdr:to>
    <xdr:sp macro="" textlink="">
      <xdr:nvSpPr>
        <xdr:cNvPr id="33793" name="Text Box 1">
          <a:extLst>
            <a:ext uri="{FF2B5EF4-FFF2-40B4-BE49-F238E27FC236}"/>
          </a:extLst>
        </xdr:cNvPr>
        <xdr:cNvSpPr txBox="1">
          <a:spLocks noChangeArrowheads="1"/>
        </xdr:cNvSpPr>
      </xdr:nvSpPr>
      <xdr:spPr bwMode="auto">
        <a:xfrm>
          <a:off x="10458450" y="533400"/>
          <a:ext cx="4543425" cy="1619250"/>
        </a:xfrm>
        <a:prstGeom prst="rec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en-AU" sz="1200" b="1" i="0" u="none" strike="noStrike" baseline="0">
              <a:solidFill>
                <a:srgbClr val="000000"/>
              </a:solidFill>
              <a:latin typeface="Arial"/>
              <a:cs typeface="Arial"/>
            </a:rPr>
            <a:t>This version of the calculator has no nutritional information and relies on you providing a high energy, safe diet with adequate protein.  It will not give as accurate an answer as the more advanced option.  If you require assistance check the comment boxes (cells with red triangle  in corner) and also look at the Feedlotting Primefact by clicking on the button below.</a:t>
          </a:r>
        </a:p>
        <a:p>
          <a:pPr algn="l" rtl="0">
            <a:defRPr sz="1000"/>
          </a:pPr>
          <a:endParaRPr lang="en-AU" sz="1200" b="1" i="0" u="none" strike="noStrike" baseline="0">
            <a:solidFill>
              <a:srgbClr val="000000"/>
            </a:solidFill>
            <a:latin typeface="Arial"/>
            <a:cs typeface="Arial"/>
          </a:endParaRPr>
        </a:p>
        <a:p>
          <a:pPr algn="l" rtl="0">
            <a:defRPr sz="1000"/>
          </a:pPr>
          <a:endParaRPr lang="en-AU" sz="1200" b="1" i="0" u="none" strike="noStrike" baseline="0">
            <a:solidFill>
              <a:srgbClr val="000000"/>
            </a:solidFill>
            <a:latin typeface="Arial"/>
            <a:cs typeface="Arial"/>
          </a:endParaRPr>
        </a:p>
      </xdr:txBody>
    </xdr:sp>
    <xdr:clientData/>
  </xdr:twoCellAnchor>
  <xdr:twoCellAnchor editAs="oneCell">
    <xdr:from>
      <xdr:col>11</xdr:col>
      <xdr:colOff>1362075</xdr:colOff>
      <xdr:row>34</xdr:row>
      <xdr:rowOff>123825</xdr:rowOff>
    </xdr:from>
    <xdr:to>
      <xdr:col>12</xdr:col>
      <xdr:colOff>1552575</xdr:colOff>
      <xdr:row>40</xdr:row>
      <xdr:rowOff>180975</xdr:rowOff>
    </xdr:to>
    <xdr:pic>
      <xdr:nvPicPr>
        <xdr:cNvPr id="34164" name="Picture 2" descr="DPI LGO C"/>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49225" y="7543800"/>
          <a:ext cx="1552575"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171450</xdr:colOff>
      <xdr:row>34</xdr:row>
      <xdr:rowOff>95250</xdr:rowOff>
    </xdr:from>
    <xdr:to>
      <xdr:col>11</xdr:col>
      <xdr:colOff>800100</xdr:colOff>
      <xdr:row>41</xdr:row>
      <xdr:rowOff>0</xdr:rowOff>
    </xdr:to>
    <xdr:pic>
      <xdr:nvPicPr>
        <xdr:cNvPr id="34165"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49075" y="7515225"/>
          <a:ext cx="120015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9</xdr:col>
          <xdr:colOff>485775</xdr:colOff>
          <xdr:row>16</xdr:row>
          <xdr:rowOff>9525</xdr:rowOff>
        </xdr:from>
        <xdr:to>
          <xdr:col>12</xdr:col>
          <xdr:colOff>2324100</xdr:colOff>
          <xdr:row>19</xdr:row>
          <xdr:rowOff>123825</xdr:rowOff>
        </xdr:to>
        <xdr:sp macro="" textlink="">
          <xdr:nvSpPr>
            <xdr:cNvPr id="33814" name="ViewAgnote" hidden="1">
              <a:extLst>
                <a:ext uri="{63B3BB69-23CF-44E3-9099-C40C66FF867C}">
                  <a14:compatExt spid="_x0000_s33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495300</xdr:colOff>
          <xdr:row>29</xdr:row>
          <xdr:rowOff>47625</xdr:rowOff>
        </xdr:from>
        <xdr:to>
          <xdr:col>12</xdr:col>
          <xdr:colOff>1819275</xdr:colOff>
          <xdr:row>31</xdr:row>
          <xdr:rowOff>190500</xdr:rowOff>
        </xdr:to>
        <xdr:sp macro="" textlink="">
          <xdr:nvSpPr>
            <xdr:cNvPr id="33815" name="cmdPrintBasicForm" hidden="1">
              <a:extLst>
                <a:ext uri="{63B3BB69-23CF-44E3-9099-C40C66FF867C}">
                  <a14:compatExt spid="_x0000_s33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485775</xdr:colOff>
          <xdr:row>22</xdr:row>
          <xdr:rowOff>190500</xdr:rowOff>
        </xdr:from>
        <xdr:to>
          <xdr:col>12</xdr:col>
          <xdr:colOff>1809750</xdr:colOff>
          <xdr:row>25</xdr:row>
          <xdr:rowOff>171450</xdr:rowOff>
        </xdr:to>
        <xdr:sp macro="" textlink="">
          <xdr:nvSpPr>
            <xdr:cNvPr id="33912" name="cmdPrintBasic" hidden="1">
              <a:extLst>
                <a:ext uri="{63B3BB69-23CF-44E3-9099-C40C66FF867C}">
                  <a14:compatExt spid="_x0000_s33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xdr:row>
          <xdr:rowOff>28575</xdr:rowOff>
        </xdr:from>
        <xdr:to>
          <xdr:col>4</xdr:col>
          <xdr:colOff>676275</xdr:colOff>
          <xdr:row>3</xdr:row>
          <xdr:rowOff>47625</xdr:rowOff>
        </xdr:to>
        <xdr:sp macro="" textlink="">
          <xdr:nvSpPr>
            <xdr:cNvPr id="33915" name="SpinButton1" hidden="1">
              <a:extLst>
                <a:ext uri="{63B3BB69-23CF-44E3-9099-C40C66FF867C}">
                  <a14:compatExt spid="_x0000_s3391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14</xdr:col>
      <xdr:colOff>314325</xdr:colOff>
      <xdr:row>1</xdr:row>
      <xdr:rowOff>114300</xdr:rowOff>
    </xdr:from>
    <xdr:to>
      <xdr:col>18</xdr:col>
      <xdr:colOff>495300</xdr:colOff>
      <xdr:row>9</xdr:row>
      <xdr:rowOff>152400</xdr:rowOff>
    </xdr:to>
    <xdr:sp macro="" textlink="">
      <xdr:nvSpPr>
        <xdr:cNvPr id="38973" name="Text Box 61">
          <a:extLst>
            <a:ext uri="{FF2B5EF4-FFF2-40B4-BE49-F238E27FC236}"/>
          </a:extLst>
        </xdr:cNvPr>
        <xdr:cNvSpPr txBox="1">
          <a:spLocks noChangeArrowheads="1"/>
        </xdr:cNvSpPr>
      </xdr:nvSpPr>
      <xdr:spPr bwMode="auto">
        <a:xfrm>
          <a:off x="8639175" y="276225"/>
          <a:ext cx="2638425" cy="1333500"/>
        </a:xfrm>
        <a:prstGeom prst="rec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en-AU" sz="1200" b="1" i="0" u="none" strike="noStrike" baseline="0">
              <a:solidFill>
                <a:srgbClr val="FF0000"/>
              </a:solidFill>
              <a:latin typeface="Arial"/>
              <a:cs typeface="Arial"/>
            </a:rPr>
            <a:t>MOVE UP OR DOWN WITHIN INSTRUCTIONS BY USING THE  SCROLL BAR or BUTTON or</a:t>
          </a:r>
        </a:p>
        <a:p>
          <a:pPr algn="l" rtl="0">
            <a:defRPr sz="1000"/>
          </a:pPr>
          <a:r>
            <a:rPr lang="en-AU" sz="1200" b="1" i="0" u="none" strike="noStrike" baseline="0">
              <a:solidFill>
                <a:srgbClr val="FF0000"/>
              </a:solidFill>
              <a:latin typeface="Arial"/>
              <a:cs typeface="Arial"/>
            </a:rPr>
            <a:t>PAGE UP/DOWN KEYS</a:t>
          </a:r>
        </a:p>
        <a:p>
          <a:pPr algn="l" rtl="0">
            <a:defRPr sz="1000"/>
          </a:pPr>
          <a:endParaRPr lang="en-AU" sz="1200" b="1" i="0" u="none" strike="noStrike" baseline="0">
            <a:solidFill>
              <a:srgbClr val="FF0000"/>
            </a:solidFill>
            <a:latin typeface="Arial"/>
            <a:cs typeface="Arial"/>
          </a:endParaRPr>
        </a:p>
        <a:p>
          <a:pPr algn="l" rtl="0">
            <a:defRPr sz="1000"/>
          </a:pPr>
          <a:r>
            <a:rPr lang="en-AU" sz="1200" b="1" i="0" u="none" strike="noStrike" baseline="0">
              <a:solidFill>
                <a:srgbClr val="FF0000"/>
              </a:solidFill>
              <a:latin typeface="Arial"/>
              <a:cs typeface="Arial"/>
            </a:rPr>
            <a:t>Click on button for action</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xdr:row>
          <xdr:rowOff>85725</xdr:rowOff>
        </xdr:from>
        <xdr:to>
          <xdr:col>19</xdr:col>
          <xdr:colOff>9525</xdr:colOff>
          <xdr:row>56</xdr:row>
          <xdr:rowOff>85725</xdr:rowOff>
        </xdr:to>
        <xdr:sp macro="" textlink="">
          <xdr:nvSpPr>
            <xdr:cNvPr id="38949" name="Object 37" hidden="1">
              <a:extLst>
                <a:ext uri="{63B3BB69-23CF-44E3-9099-C40C66FF867C}">
                  <a14:compatExt spid="_x0000_s38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146</xdr:row>
          <xdr:rowOff>123825</xdr:rowOff>
        </xdr:from>
        <xdr:to>
          <xdr:col>19</xdr:col>
          <xdr:colOff>38100</xdr:colOff>
          <xdr:row>174</xdr:row>
          <xdr:rowOff>114300</xdr:rowOff>
        </xdr:to>
        <xdr:sp macro="" textlink="">
          <xdr:nvSpPr>
            <xdr:cNvPr id="38957" name="Object 45" hidden="1">
              <a:extLst>
                <a:ext uri="{63B3BB69-23CF-44E3-9099-C40C66FF867C}">
                  <a14:compatExt spid="_x0000_s389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552450</xdr:colOff>
          <xdr:row>17</xdr:row>
          <xdr:rowOff>133350</xdr:rowOff>
        </xdr:from>
        <xdr:to>
          <xdr:col>18</xdr:col>
          <xdr:colOff>152400</xdr:colOff>
          <xdr:row>21</xdr:row>
          <xdr:rowOff>114300</xdr:rowOff>
        </xdr:to>
        <xdr:sp macro="" textlink="">
          <xdr:nvSpPr>
            <xdr:cNvPr id="38960" name="CmdGoToWelcome" hidden="1">
              <a:extLst>
                <a:ext uri="{63B3BB69-23CF-44E3-9099-C40C66FF867C}">
                  <a14:compatExt spid="_x0000_s389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22</xdr:row>
          <xdr:rowOff>95250</xdr:rowOff>
        </xdr:from>
        <xdr:to>
          <xdr:col>18</xdr:col>
          <xdr:colOff>104775</xdr:colOff>
          <xdr:row>26</xdr:row>
          <xdr:rowOff>104775</xdr:rowOff>
        </xdr:to>
        <xdr:sp macro="" textlink="">
          <xdr:nvSpPr>
            <xdr:cNvPr id="38961" name="CmdGoToSummary" hidden="1">
              <a:extLst>
                <a:ext uri="{63B3BB69-23CF-44E3-9099-C40C66FF867C}">
                  <a14:compatExt spid="_x0000_s389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10</xdr:row>
          <xdr:rowOff>28575</xdr:rowOff>
        </xdr:from>
        <xdr:to>
          <xdr:col>18</xdr:col>
          <xdr:colOff>257175</xdr:colOff>
          <xdr:row>13</xdr:row>
          <xdr:rowOff>38100</xdr:rowOff>
        </xdr:to>
        <xdr:sp macro="" textlink="">
          <xdr:nvSpPr>
            <xdr:cNvPr id="38962" name="cmdPrintAdvanceInst" hidden="1">
              <a:extLst>
                <a:ext uri="{63B3BB69-23CF-44E3-9099-C40C66FF867C}">
                  <a14:compatExt spid="_x0000_s389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552450</xdr:colOff>
          <xdr:row>61</xdr:row>
          <xdr:rowOff>38100</xdr:rowOff>
        </xdr:from>
        <xdr:to>
          <xdr:col>18</xdr:col>
          <xdr:colOff>228600</xdr:colOff>
          <xdr:row>65</xdr:row>
          <xdr:rowOff>76200</xdr:rowOff>
        </xdr:to>
        <xdr:sp macro="" textlink="">
          <xdr:nvSpPr>
            <xdr:cNvPr id="38963" name="CmdAgnote2" hidden="1">
              <a:extLst>
                <a:ext uri="{63B3BB69-23CF-44E3-9099-C40C66FF867C}">
                  <a14:compatExt spid="_x0000_s389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400050</xdr:colOff>
          <xdr:row>83</xdr:row>
          <xdr:rowOff>95250</xdr:rowOff>
        </xdr:from>
        <xdr:to>
          <xdr:col>18</xdr:col>
          <xdr:colOff>333375</xdr:colOff>
          <xdr:row>87</xdr:row>
          <xdr:rowOff>9525</xdr:rowOff>
        </xdr:to>
        <xdr:sp macro="" textlink="">
          <xdr:nvSpPr>
            <xdr:cNvPr id="38964" name="cmdGoToInputs" hidden="1">
              <a:extLst>
                <a:ext uri="{63B3BB69-23CF-44E3-9099-C40C66FF867C}">
                  <a14:compatExt spid="_x0000_s389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141</xdr:row>
          <xdr:rowOff>76200</xdr:rowOff>
        </xdr:from>
        <xdr:to>
          <xdr:col>18</xdr:col>
          <xdr:colOff>314325</xdr:colOff>
          <xdr:row>145</xdr:row>
          <xdr:rowOff>76200</xdr:rowOff>
        </xdr:to>
        <xdr:sp macro="" textlink="">
          <xdr:nvSpPr>
            <xdr:cNvPr id="38965" name="cmdGoToRations" hidden="1">
              <a:extLst>
                <a:ext uri="{63B3BB69-23CF-44E3-9099-C40C66FF867C}">
                  <a14:compatExt spid="_x0000_s389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152400</xdr:colOff>
          <xdr:row>199</xdr:row>
          <xdr:rowOff>19050</xdr:rowOff>
        </xdr:from>
        <xdr:to>
          <xdr:col>18</xdr:col>
          <xdr:colOff>361950</xdr:colOff>
          <xdr:row>203</xdr:row>
          <xdr:rowOff>0</xdr:rowOff>
        </xdr:to>
        <xdr:sp macro="" textlink="">
          <xdr:nvSpPr>
            <xdr:cNvPr id="38966" name="cmdGoToWelcome2" hidden="1">
              <a:extLst>
                <a:ext uri="{63B3BB69-23CF-44E3-9099-C40C66FF867C}">
                  <a14:compatExt spid="_x0000_s389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61</xdr:row>
          <xdr:rowOff>38100</xdr:rowOff>
        </xdr:from>
        <xdr:to>
          <xdr:col>19</xdr:col>
          <xdr:colOff>95250</xdr:colOff>
          <xdr:row>114</xdr:row>
          <xdr:rowOff>57150</xdr:rowOff>
        </xdr:to>
        <xdr:sp macro="" textlink="">
          <xdr:nvSpPr>
            <xdr:cNvPr id="38969" name="Object 57" hidden="1">
              <a:extLst>
                <a:ext uri="{63B3BB69-23CF-44E3-9099-C40C66FF867C}">
                  <a14:compatExt spid="_x0000_s389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28575</xdr:rowOff>
        </xdr:from>
        <xdr:to>
          <xdr:col>18</xdr:col>
          <xdr:colOff>619125</xdr:colOff>
          <xdr:row>146</xdr:row>
          <xdr:rowOff>28575</xdr:rowOff>
        </xdr:to>
        <xdr:sp macro="" textlink="">
          <xdr:nvSpPr>
            <xdr:cNvPr id="38970" name="Object 58" hidden="1">
              <a:extLst>
                <a:ext uri="{63B3BB69-23CF-44E3-9099-C40C66FF867C}">
                  <a14:compatExt spid="_x0000_s389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175</xdr:row>
          <xdr:rowOff>9525</xdr:rowOff>
        </xdr:from>
        <xdr:to>
          <xdr:col>18</xdr:col>
          <xdr:colOff>619125</xdr:colOff>
          <xdr:row>224</xdr:row>
          <xdr:rowOff>152400</xdr:rowOff>
        </xdr:to>
        <xdr:sp macro="" textlink="">
          <xdr:nvSpPr>
            <xdr:cNvPr id="38972" name="Object 60" hidden="1">
              <a:extLst>
                <a:ext uri="{63B3BB69-23CF-44E3-9099-C40C66FF867C}">
                  <a14:compatExt spid="_x0000_s389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561975</xdr:colOff>
          <xdr:row>61</xdr:row>
          <xdr:rowOff>38100</xdr:rowOff>
        </xdr:from>
        <xdr:to>
          <xdr:col>18</xdr:col>
          <xdr:colOff>352425</xdr:colOff>
          <xdr:row>65</xdr:row>
          <xdr:rowOff>76200</xdr:rowOff>
        </xdr:to>
        <xdr:sp macro="" textlink="">
          <xdr:nvSpPr>
            <xdr:cNvPr id="38977" name="cmdPrimefacts" hidden="1">
              <a:extLst>
                <a:ext uri="{63B3BB69-23CF-44E3-9099-C40C66FF867C}">
                  <a14:compatExt spid="_x0000_s389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409575</xdr:colOff>
          <xdr:row>66</xdr:row>
          <xdr:rowOff>104775</xdr:rowOff>
        </xdr:from>
        <xdr:to>
          <xdr:col>18</xdr:col>
          <xdr:colOff>342900</xdr:colOff>
          <xdr:row>70</xdr:row>
          <xdr:rowOff>19050</xdr:rowOff>
        </xdr:to>
        <xdr:sp macro="" textlink="">
          <xdr:nvSpPr>
            <xdr:cNvPr id="38978" name="cmdInputs" hidden="1">
              <a:extLst>
                <a:ext uri="{63B3BB69-23CF-44E3-9099-C40C66FF867C}">
                  <a14:compatExt spid="_x0000_s389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152400</xdr:colOff>
          <xdr:row>153</xdr:row>
          <xdr:rowOff>123825</xdr:rowOff>
        </xdr:from>
        <xdr:to>
          <xdr:col>18</xdr:col>
          <xdr:colOff>428625</xdr:colOff>
          <xdr:row>157</xdr:row>
          <xdr:rowOff>123825</xdr:rowOff>
        </xdr:to>
        <xdr:sp macro="" textlink="">
          <xdr:nvSpPr>
            <xdr:cNvPr id="38979" name="cmdRations" hidden="1">
              <a:extLst>
                <a:ext uri="{63B3BB69-23CF-44E3-9099-C40C66FF867C}">
                  <a14:compatExt spid="_x0000_s389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85725</xdr:colOff>
          <xdr:row>209</xdr:row>
          <xdr:rowOff>152400</xdr:rowOff>
        </xdr:from>
        <xdr:to>
          <xdr:col>18</xdr:col>
          <xdr:colOff>295275</xdr:colOff>
          <xdr:row>213</xdr:row>
          <xdr:rowOff>133350</xdr:rowOff>
        </xdr:to>
        <xdr:sp macro="" textlink="">
          <xdr:nvSpPr>
            <xdr:cNvPr id="38980" name="cmdWelcome2" hidden="1">
              <a:extLst>
                <a:ext uri="{63B3BB69-23CF-44E3-9099-C40C66FF867C}">
                  <a14:compatExt spid="_x0000_s38980"/>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371475</xdr:colOff>
      <xdr:row>5</xdr:row>
      <xdr:rowOff>19050</xdr:rowOff>
    </xdr:from>
    <xdr:to>
      <xdr:col>1</xdr:col>
      <xdr:colOff>361950</xdr:colOff>
      <xdr:row>12</xdr:row>
      <xdr:rowOff>152400</xdr:rowOff>
    </xdr:to>
    <xdr:pic>
      <xdr:nvPicPr>
        <xdr:cNvPr id="29904" name="Picture 102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981075"/>
          <a:ext cx="1181100"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342900</xdr:colOff>
      <xdr:row>5</xdr:row>
      <xdr:rowOff>114300</xdr:rowOff>
    </xdr:from>
    <xdr:to>
      <xdr:col>5</xdr:col>
      <xdr:colOff>600075</xdr:colOff>
      <xdr:row>12</xdr:row>
      <xdr:rowOff>152400</xdr:rowOff>
    </xdr:to>
    <xdr:pic>
      <xdr:nvPicPr>
        <xdr:cNvPr id="29905" name="Picture 1026" descr="DPI LGO C"/>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43125" y="1076325"/>
          <a:ext cx="208597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1181100</xdr:colOff>
      <xdr:row>34</xdr:row>
      <xdr:rowOff>133350</xdr:rowOff>
    </xdr:from>
    <xdr:to>
      <xdr:col>13</xdr:col>
      <xdr:colOff>123825</xdr:colOff>
      <xdr:row>40</xdr:row>
      <xdr:rowOff>114300</xdr:rowOff>
    </xdr:to>
    <xdr:sp macro="" textlink="">
      <xdr:nvSpPr>
        <xdr:cNvPr id="29703" name="Text Box 1031">
          <a:extLst>
            <a:ext uri="{FF2B5EF4-FFF2-40B4-BE49-F238E27FC236}"/>
          </a:extLst>
        </xdr:cNvPr>
        <xdr:cNvSpPr txBox="1">
          <a:spLocks noChangeArrowheads="1"/>
        </xdr:cNvSpPr>
      </xdr:nvSpPr>
      <xdr:spPr bwMode="auto">
        <a:xfrm>
          <a:off x="1181100" y="6219825"/>
          <a:ext cx="8601075" cy="95250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en-AU" sz="1200" b="1" i="0" u="none" strike="noStrike" baseline="0">
              <a:solidFill>
                <a:srgbClr val="000000"/>
              </a:solidFill>
              <a:latin typeface="Arial"/>
              <a:cs typeface="Arial"/>
            </a:rPr>
            <a:t>The Sheep/Lamb Feedlot Calculator can be used to accurately predict profitability for feedlotting.  In addition it can be used for calculating outcomes when using drought lots or for the live sheep trade where intakes may be restricted. Experienced users of this calculator can also use it for supplementary feeding predictions as pastures can be entered in the other feeds section. </a:t>
          </a:r>
        </a:p>
      </xdr:txBody>
    </xdr:sp>
    <xdr:clientData/>
  </xdr:twoCellAnchor>
  <mc:AlternateContent xmlns:mc="http://schemas.openxmlformats.org/markup-compatibility/2006">
    <mc:Choice xmlns:a14="http://schemas.microsoft.com/office/drawing/2010/main" Requires="a14">
      <xdr:twoCellAnchor editAs="oneCell">
        <xdr:from>
          <xdr:col>4</xdr:col>
          <xdr:colOff>19050</xdr:colOff>
          <xdr:row>16</xdr:row>
          <xdr:rowOff>28575</xdr:rowOff>
        </xdr:from>
        <xdr:to>
          <xdr:col>7</xdr:col>
          <xdr:colOff>180975</xdr:colOff>
          <xdr:row>19</xdr:row>
          <xdr:rowOff>95250</xdr:rowOff>
        </xdr:to>
        <xdr:sp macro="" textlink="">
          <xdr:nvSpPr>
            <xdr:cNvPr id="6147" name="cmdStart" hidden="1">
              <a:extLst>
                <a:ext uri="{63B3BB69-23CF-44E3-9099-C40C66FF867C}">
                  <a14:compatExt spid="_x0000_s6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466725</xdr:colOff>
          <xdr:row>16</xdr:row>
          <xdr:rowOff>76200</xdr:rowOff>
        </xdr:from>
        <xdr:to>
          <xdr:col>12</xdr:col>
          <xdr:colOff>495300</xdr:colOff>
          <xdr:row>19</xdr:row>
          <xdr:rowOff>85725</xdr:rowOff>
        </xdr:to>
        <xdr:sp macro="" textlink="">
          <xdr:nvSpPr>
            <xdr:cNvPr id="29699" name="CommandButton1" hidden="1">
              <a:extLst>
                <a:ext uri="{63B3BB69-23CF-44E3-9099-C40C66FF867C}">
                  <a14:compatExt spid="_x0000_s29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16</xdr:row>
          <xdr:rowOff>66675</xdr:rowOff>
        </xdr:from>
        <xdr:to>
          <xdr:col>2</xdr:col>
          <xdr:colOff>466725</xdr:colOff>
          <xdr:row>19</xdr:row>
          <xdr:rowOff>95250</xdr:rowOff>
        </xdr:to>
        <xdr:sp macro="" textlink="">
          <xdr:nvSpPr>
            <xdr:cNvPr id="29700" name="CommandButton2" hidden="1">
              <a:extLst>
                <a:ext uri="{63B3BB69-23CF-44E3-9099-C40C66FF867C}">
                  <a14:compatExt spid="_x0000_s29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495300</xdr:colOff>
          <xdr:row>29</xdr:row>
          <xdr:rowOff>190500</xdr:rowOff>
        </xdr:from>
        <xdr:to>
          <xdr:col>5</xdr:col>
          <xdr:colOff>523875</xdr:colOff>
          <xdr:row>31</xdr:row>
          <xdr:rowOff>180975</xdr:rowOff>
        </xdr:to>
        <xdr:sp macro="" textlink="">
          <xdr:nvSpPr>
            <xdr:cNvPr id="29701" name="CommandButton3" hidden="1">
              <a:extLst>
                <a:ext uri="{63B3BB69-23CF-44E3-9099-C40C66FF867C}">
                  <a14:compatExt spid="_x0000_s29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27</xdr:row>
          <xdr:rowOff>76200</xdr:rowOff>
        </xdr:from>
        <xdr:to>
          <xdr:col>10</xdr:col>
          <xdr:colOff>676275</xdr:colOff>
          <xdr:row>29</xdr:row>
          <xdr:rowOff>114300</xdr:rowOff>
        </xdr:to>
        <xdr:sp macro="" textlink="">
          <xdr:nvSpPr>
            <xdr:cNvPr id="29704" name="CommandButton4" hidden="1">
              <a:extLst>
                <a:ext uri="{63B3BB69-23CF-44E3-9099-C40C66FF867C}">
                  <a14:compatExt spid="_x0000_s29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30</xdr:row>
          <xdr:rowOff>19050</xdr:rowOff>
        </xdr:from>
        <xdr:to>
          <xdr:col>10</xdr:col>
          <xdr:colOff>676275</xdr:colOff>
          <xdr:row>32</xdr:row>
          <xdr:rowOff>57150</xdr:rowOff>
        </xdr:to>
        <xdr:sp macro="" textlink="">
          <xdr:nvSpPr>
            <xdr:cNvPr id="29705" name="CommandButton5" hidden="1">
              <a:extLst>
                <a:ext uri="{63B3BB69-23CF-44E3-9099-C40C66FF867C}">
                  <a14:compatExt spid="_x0000_s2970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47625</xdr:colOff>
      <xdr:row>19</xdr:row>
      <xdr:rowOff>190500</xdr:rowOff>
    </xdr:from>
    <xdr:to>
      <xdr:col>3</xdr:col>
      <xdr:colOff>504825</xdr:colOff>
      <xdr:row>32</xdr:row>
      <xdr:rowOff>152400</xdr:rowOff>
    </xdr:to>
    <xdr:sp macro="" textlink="">
      <xdr:nvSpPr>
        <xdr:cNvPr id="27682" name="Text Box 34">
          <a:extLst>
            <a:ext uri="{FF2B5EF4-FFF2-40B4-BE49-F238E27FC236}"/>
          </a:extLst>
        </xdr:cNvPr>
        <xdr:cNvSpPr txBox="1">
          <a:spLocks noChangeArrowheads="1"/>
        </xdr:cNvSpPr>
      </xdr:nvSpPr>
      <xdr:spPr bwMode="auto">
        <a:xfrm>
          <a:off x="47625" y="4819650"/>
          <a:ext cx="4810125" cy="3276600"/>
        </a:xfrm>
        <a:prstGeom prst="rec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en-AU" sz="1400" b="1" i="0" u="none" strike="noStrike" baseline="0">
              <a:solidFill>
                <a:srgbClr val="FF0000"/>
              </a:solidFill>
              <a:latin typeface="Arial"/>
              <a:cs typeface="Arial"/>
            </a:rPr>
            <a:t>STEPS FOR ADVANCED CALCULATOR - </a:t>
          </a:r>
          <a:endParaRPr lang="en-AU" sz="1200" b="1" i="0" u="none" strike="noStrike" baseline="0">
            <a:solidFill>
              <a:srgbClr val="000000"/>
            </a:solidFill>
            <a:latin typeface="Arial"/>
            <a:cs typeface="Arial"/>
          </a:endParaRPr>
        </a:p>
        <a:p>
          <a:pPr algn="l" rtl="0">
            <a:defRPr sz="1000"/>
          </a:pPr>
          <a:endParaRPr lang="en-AU" sz="1200" b="1" i="0" u="none" strike="noStrike" baseline="0">
            <a:solidFill>
              <a:srgbClr val="000000"/>
            </a:solidFill>
            <a:latin typeface="Arial"/>
            <a:cs typeface="Arial"/>
          </a:endParaRPr>
        </a:p>
        <a:p>
          <a:pPr algn="l" rtl="0">
            <a:defRPr sz="1000"/>
          </a:pPr>
          <a:r>
            <a:rPr lang="en-AU" sz="1200" b="1" i="0" u="none" strike="noStrike" baseline="0">
              <a:solidFill>
                <a:srgbClr val="0000FF"/>
              </a:solidFill>
              <a:latin typeface="Arial"/>
              <a:cs typeface="Arial"/>
            </a:rPr>
            <a:t>USE tabs below to move between sheets - </a:t>
          </a:r>
        </a:p>
        <a:p>
          <a:pPr algn="l" rtl="0">
            <a:defRPr sz="1000"/>
          </a:pPr>
          <a:endParaRPr lang="en-AU" sz="1200" b="1" i="0" u="none" strike="noStrike" baseline="0">
            <a:solidFill>
              <a:srgbClr val="0000FF"/>
            </a:solidFill>
            <a:latin typeface="Arial"/>
            <a:cs typeface="Arial"/>
          </a:endParaRPr>
        </a:p>
        <a:p>
          <a:pPr algn="l" rtl="0">
            <a:defRPr sz="1000"/>
          </a:pPr>
          <a:r>
            <a:rPr lang="en-AU" sz="1200" b="1" i="0" u="none" strike="noStrike" baseline="0">
              <a:solidFill>
                <a:srgbClr val="0000FF"/>
              </a:solidFill>
              <a:latin typeface="Arial"/>
              <a:cs typeface="Arial"/>
            </a:rPr>
            <a:t>USE instruction buttons for information as required </a:t>
          </a:r>
        </a:p>
        <a:p>
          <a:pPr algn="l" rtl="0">
            <a:defRPr sz="1000"/>
          </a:pPr>
          <a:endParaRPr lang="en-AU" sz="1200" b="1" i="0" u="none" strike="noStrike" baseline="0">
            <a:solidFill>
              <a:srgbClr val="000000"/>
            </a:solidFill>
            <a:latin typeface="Arial"/>
            <a:cs typeface="Arial"/>
          </a:endParaRPr>
        </a:p>
        <a:p>
          <a:pPr algn="l" rtl="0">
            <a:defRPr sz="1000"/>
          </a:pPr>
          <a:r>
            <a:rPr lang="en-AU" sz="1200" b="1" i="0" u="none" strike="noStrike" baseline="0">
              <a:solidFill>
                <a:srgbClr val="000000"/>
              </a:solidFill>
              <a:latin typeface="Arial"/>
              <a:cs typeface="Arial"/>
            </a:rPr>
            <a:t>1. Enter in Enterprise details</a:t>
          </a:r>
        </a:p>
        <a:p>
          <a:pPr algn="l" rtl="0">
            <a:defRPr sz="1000"/>
          </a:pPr>
          <a:r>
            <a:rPr lang="en-AU" sz="1200" b="1" i="0" u="none" strike="noStrike" baseline="0">
              <a:solidFill>
                <a:srgbClr val="000000"/>
              </a:solidFill>
              <a:latin typeface="Arial"/>
              <a:cs typeface="Arial"/>
            </a:rPr>
            <a:t>2. Go to Input sheet and enter in Costs</a:t>
          </a:r>
        </a:p>
        <a:p>
          <a:pPr algn="l" rtl="0">
            <a:defRPr sz="1000"/>
          </a:pPr>
          <a:r>
            <a:rPr lang="en-AU" sz="1200" b="1" i="0" u="none" strike="noStrike" baseline="0">
              <a:solidFill>
                <a:srgbClr val="000000"/>
              </a:solidFill>
              <a:latin typeface="Arial"/>
              <a:cs typeface="Arial"/>
            </a:rPr>
            <a:t>3. Go to Ration Sheet, enter in Ration details</a:t>
          </a:r>
        </a:p>
        <a:p>
          <a:pPr algn="l" rtl="0">
            <a:defRPr sz="1000"/>
          </a:pPr>
          <a:r>
            <a:rPr lang="en-AU" sz="1200" b="1" i="0" u="none" strike="noStrike" baseline="0">
              <a:solidFill>
                <a:srgbClr val="000000"/>
              </a:solidFill>
              <a:latin typeface="Arial"/>
              <a:cs typeface="Arial"/>
            </a:rPr>
            <a:t>4. Go to Feed Values and enter in prices, quality details </a:t>
          </a:r>
        </a:p>
        <a:p>
          <a:pPr algn="l" rtl="0">
            <a:defRPr sz="1000"/>
          </a:pPr>
          <a:r>
            <a:rPr lang="en-AU" sz="1200" b="1" i="0" u="none" strike="noStrike" baseline="0">
              <a:solidFill>
                <a:srgbClr val="000000"/>
              </a:solidFill>
              <a:latin typeface="Arial"/>
              <a:cs typeface="Arial"/>
            </a:rPr>
            <a:t>5. Return to summary page and check results</a:t>
          </a:r>
        </a:p>
        <a:p>
          <a:pPr algn="l" rtl="0">
            <a:defRPr sz="1000"/>
          </a:pPr>
          <a:endParaRPr lang="en-AU" sz="1200" b="1" i="0" u="none" strike="noStrike" baseline="0">
            <a:solidFill>
              <a:srgbClr val="000000"/>
            </a:solidFill>
            <a:latin typeface="Arial"/>
            <a:cs typeface="Arial"/>
          </a:endParaRPr>
        </a:p>
        <a:p>
          <a:pPr algn="l" rtl="0">
            <a:defRPr sz="1000"/>
          </a:pPr>
          <a:r>
            <a:rPr lang="en-AU" sz="1200" b="1" i="0" u="none" strike="noStrike" baseline="0">
              <a:solidFill>
                <a:srgbClr val="000000"/>
              </a:solidFill>
              <a:latin typeface="Arial"/>
              <a:cs typeface="Arial"/>
            </a:rPr>
            <a:t>Fine tune results by making adjustment(s) to entries as required</a:t>
          </a:r>
        </a:p>
      </xdr:txBody>
    </xdr:sp>
    <xdr:clientData/>
  </xdr:twoCellAnchor>
  <mc:AlternateContent xmlns:mc="http://schemas.openxmlformats.org/markup-compatibility/2006">
    <mc:Choice xmlns:a14="http://schemas.microsoft.com/office/drawing/2010/main" Requires="a14">
      <xdr:twoCellAnchor editAs="oneCell">
        <xdr:from>
          <xdr:col>3</xdr:col>
          <xdr:colOff>0</xdr:colOff>
          <xdr:row>3</xdr:row>
          <xdr:rowOff>9525</xdr:rowOff>
        </xdr:from>
        <xdr:to>
          <xdr:col>3</xdr:col>
          <xdr:colOff>638175</xdr:colOff>
          <xdr:row>4</xdr:row>
          <xdr:rowOff>28575</xdr:rowOff>
        </xdr:to>
        <xdr:sp macro="" textlink="">
          <xdr:nvSpPr>
            <xdr:cNvPr id="3142" name="SpinButton1" hidden="1">
              <a:extLst>
                <a:ext uri="{63B3BB69-23CF-44E3-9099-C40C66FF867C}">
                  <a14:compatExt spid="_x0000_s3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10</xdr:row>
          <xdr:rowOff>219075</xdr:rowOff>
        </xdr:from>
        <xdr:to>
          <xdr:col>3</xdr:col>
          <xdr:colOff>657225</xdr:colOff>
          <xdr:row>12</xdr:row>
          <xdr:rowOff>0</xdr:rowOff>
        </xdr:to>
        <xdr:sp macro="" textlink="">
          <xdr:nvSpPr>
            <xdr:cNvPr id="3143" name="SpinButton2" hidden="1">
              <a:extLst>
                <a:ext uri="{63B3BB69-23CF-44E3-9099-C40C66FF867C}">
                  <a14:compatExt spid="_x0000_s3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200025</xdr:colOff>
          <xdr:row>27</xdr:row>
          <xdr:rowOff>104775</xdr:rowOff>
        </xdr:from>
        <xdr:to>
          <xdr:col>7</xdr:col>
          <xdr:colOff>1219200</xdr:colOff>
          <xdr:row>28</xdr:row>
          <xdr:rowOff>66675</xdr:rowOff>
        </xdr:to>
        <xdr:sp macro="" textlink="">
          <xdr:nvSpPr>
            <xdr:cNvPr id="3158" name="cmdPrintSummary" hidden="1">
              <a:extLst>
                <a:ext uri="{63B3BB69-23CF-44E3-9099-C40C66FF867C}">
                  <a14:compatExt spid="_x0000_s3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733425</xdr:colOff>
          <xdr:row>27</xdr:row>
          <xdr:rowOff>76200</xdr:rowOff>
        </xdr:from>
        <xdr:to>
          <xdr:col>10</xdr:col>
          <xdr:colOff>276225</xdr:colOff>
          <xdr:row>28</xdr:row>
          <xdr:rowOff>38100</xdr:rowOff>
        </xdr:to>
        <xdr:sp macro="" textlink="">
          <xdr:nvSpPr>
            <xdr:cNvPr id="3159" name="cmdPrintRation" hidden="1">
              <a:extLst>
                <a:ext uri="{63B3BB69-23CF-44E3-9099-C40C66FF867C}">
                  <a14:compatExt spid="_x0000_s3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1400175</xdr:colOff>
          <xdr:row>28</xdr:row>
          <xdr:rowOff>123825</xdr:rowOff>
        </xdr:from>
        <xdr:to>
          <xdr:col>8</xdr:col>
          <xdr:colOff>590550</xdr:colOff>
          <xdr:row>30</xdr:row>
          <xdr:rowOff>9525</xdr:rowOff>
        </xdr:to>
        <xdr:sp macro="" textlink="">
          <xdr:nvSpPr>
            <xdr:cNvPr id="3160" name="cmdPrintPLoss" hidden="1">
              <a:extLst>
                <a:ext uri="{63B3BB69-23CF-44E3-9099-C40C66FF867C}">
                  <a14:compatExt spid="_x0000_s3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28</xdr:row>
          <xdr:rowOff>104775</xdr:rowOff>
        </xdr:from>
        <xdr:to>
          <xdr:col>7</xdr:col>
          <xdr:colOff>1209675</xdr:colOff>
          <xdr:row>29</xdr:row>
          <xdr:rowOff>228600</xdr:rowOff>
        </xdr:to>
        <xdr:sp macro="" textlink="">
          <xdr:nvSpPr>
            <xdr:cNvPr id="3168" name="cmdPrintFeeds" hidden="1">
              <a:extLst>
                <a:ext uri="{63B3BB69-23CF-44E3-9099-C40C66FF867C}">
                  <a14:compatExt spid="_x0000_s3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1362075</xdr:colOff>
          <xdr:row>27</xdr:row>
          <xdr:rowOff>85725</xdr:rowOff>
        </xdr:from>
        <xdr:to>
          <xdr:col>8</xdr:col>
          <xdr:colOff>581025</xdr:colOff>
          <xdr:row>28</xdr:row>
          <xdr:rowOff>66675</xdr:rowOff>
        </xdr:to>
        <xdr:sp macro="" textlink="">
          <xdr:nvSpPr>
            <xdr:cNvPr id="3180" name="cmdPrintInputs" hidden="1">
              <a:extLst>
                <a:ext uri="{63B3BB69-23CF-44E3-9099-C40C66FF867C}">
                  <a14:compatExt spid="_x0000_s3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752475</xdr:colOff>
          <xdr:row>28</xdr:row>
          <xdr:rowOff>123825</xdr:rowOff>
        </xdr:from>
        <xdr:to>
          <xdr:col>10</xdr:col>
          <xdr:colOff>314325</xdr:colOff>
          <xdr:row>30</xdr:row>
          <xdr:rowOff>0</xdr:rowOff>
        </xdr:to>
        <xdr:sp macro="" textlink="">
          <xdr:nvSpPr>
            <xdr:cNvPr id="3202" name="DataForm" hidden="1">
              <a:extLst>
                <a:ext uri="{63B3BB69-23CF-44E3-9099-C40C66FF867C}">
                  <a14:compatExt spid="_x0000_s3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1590675</xdr:colOff>
          <xdr:row>23</xdr:row>
          <xdr:rowOff>142875</xdr:rowOff>
        </xdr:from>
        <xdr:to>
          <xdr:col>10</xdr:col>
          <xdr:colOff>390525</xdr:colOff>
          <xdr:row>25</xdr:row>
          <xdr:rowOff>133350</xdr:rowOff>
        </xdr:to>
        <xdr:sp macro="" textlink="">
          <xdr:nvSpPr>
            <xdr:cNvPr id="27662" name="CommandButton2" hidden="1">
              <a:extLst>
                <a:ext uri="{63B3BB69-23CF-44E3-9099-C40C66FF867C}">
                  <a14:compatExt spid="_x0000_s27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23</xdr:row>
          <xdr:rowOff>123825</xdr:rowOff>
        </xdr:from>
        <xdr:to>
          <xdr:col>7</xdr:col>
          <xdr:colOff>1476375</xdr:colOff>
          <xdr:row>25</xdr:row>
          <xdr:rowOff>123825</xdr:rowOff>
        </xdr:to>
        <xdr:sp macro="" textlink="">
          <xdr:nvSpPr>
            <xdr:cNvPr id="27663" name="CommandButton3" hidden="1">
              <a:extLst>
                <a:ext uri="{63B3BB69-23CF-44E3-9099-C40C66FF867C}">
                  <a14:compatExt spid="_x0000_s27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9525</xdr:rowOff>
        </xdr:from>
        <xdr:to>
          <xdr:col>3</xdr:col>
          <xdr:colOff>1381125</xdr:colOff>
          <xdr:row>3</xdr:row>
          <xdr:rowOff>28575</xdr:rowOff>
        </xdr:to>
        <xdr:sp macro="" textlink="">
          <xdr:nvSpPr>
            <xdr:cNvPr id="27707" name="SpinButton3" hidden="1">
              <a:extLst>
                <a:ext uri="{63B3BB69-23CF-44E3-9099-C40C66FF867C}">
                  <a14:compatExt spid="_x0000_s27707"/>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47625</xdr:colOff>
          <xdr:row>22</xdr:row>
          <xdr:rowOff>47625</xdr:rowOff>
        </xdr:from>
        <xdr:to>
          <xdr:col>6</xdr:col>
          <xdr:colOff>1857375</xdr:colOff>
          <xdr:row>26</xdr:row>
          <xdr:rowOff>104775</xdr:rowOff>
        </xdr:to>
        <xdr:sp macro="" textlink="">
          <xdr:nvSpPr>
            <xdr:cNvPr id="26625" name="CommandButton4" hidden="1">
              <a:extLst>
                <a:ext uri="{63B3BB69-23CF-44E3-9099-C40C66FF867C}">
                  <a14:compatExt spid="_x0000_s26625"/>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33</xdr:col>
      <xdr:colOff>0</xdr:colOff>
      <xdr:row>61</xdr:row>
      <xdr:rowOff>0</xdr:rowOff>
    </xdr:from>
    <xdr:to>
      <xdr:col>33</xdr:col>
      <xdr:colOff>0</xdr:colOff>
      <xdr:row>66</xdr:row>
      <xdr:rowOff>142875</xdr:rowOff>
    </xdr:to>
    <xdr:pic>
      <xdr:nvPicPr>
        <xdr:cNvPr id="28893" name="Picture 10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32125" y="118776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228600</xdr:colOff>
          <xdr:row>27</xdr:row>
          <xdr:rowOff>152400</xdr:rowOff>
        </xdr:from>
        <xdr:to>
          <xdr:col>9</xdr:col>
          <xdr:colOff>95250</xdr:colOff>
          <xdr:row>30</xdr:row>
          <xdr:rowOff>142875</xdr:rowOff>
        </xdr:to>
        <xdr:sp macro="" textlink="">
          <xdr:nvSpPr>
            <xdr:cNvPr id="28699" name="CommandButton5" hidden="1">
              <a:extLst>
                <a:ext uri="{63B3BB69-23CF-44E3-9099-C40C66FF867C}">
                  <a14:compatExt spid="_x0000_s28699"/>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333375</xdr:colOff>
          <xdr:row>36</xdr:row>
          <xdr:rowOff>190500</xdr:rowOff>
        </xdr:from>
        <xdr:to>
          <xdr:col>10</xdr:col>
          <xdr:colOff>219075</xdr:colOff>
          <xdr:row>38</xdr:row>
          <xdr:rowOff>9525</xdr:rowOff>
        </xdr:to>
        <xdr:sp macro="" textlink="">
          <xdr:nvSpPr>
            <xdr:cNvPr id="30726" name="CommandButton2" hidden="1">
              <a:extLst>
                <a:ext uri="{63B3BB69-23CF-44E3-9099-C40C66FF867C}">
                  <a14:compatExt spid="_x0000_s30726"/>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0</xdr:rowOff>
    </xdr:from>
    <xdr:to>
      <xdr:col>7</xdr:col>
      <xdr:colOff>123825</xdr:colOff>
      <xdr:row>25</xdr:row>
      <xdr:rowOff>152400</xdr:rowOff>
    </xdr:to>
    <xdr:graphicFrame macro="">
      <xdr:nvGraphicFramePr>
        <xdr:cNvPr id="4341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371475</xdr:colOff>
      <xdr:row>1</xdr:row>
      <xdr:rowOff>28575</xdr:rowOff>
    </xdr:from>
    <xdr:to>
      <xdr:col>16</xdr:col>
      <xdr:colOff>0</xdr:colOff>
      <xdr:row>29</xdr:row>
      <xdr:rowOff>28575</xdr:rowOff>
    </xdr:to>
    <xdr:graphicFrame macro="">
      <xdr:nvGraphicFramePr>
        <xdr:cNvPr id="4341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104775</xdr:colOff>
      <xdr:row>0</xdr:row>
      <xdr:rowOff>152400</xdr:rowOff>
    </xdr:from>
    <xdr:to>
      <xdr:col>23</xdr:col>
      <xdr:colOff>419100</xdr:colOff>
      <xdr:row>25</xdr:row>
      <xdr:rowOff>76200</xdr:rowOff>
    </xdr:to>
    <xdr:graphicFrame macro="">
      <xdr:nvGraphicFramePr>
        <xdr:cNvPr id="4341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38100</xdr:colOff>
      <xdr:row>29</xdr:row>
      <xdr:rowOff>66675</xdr:rowOff>
    </xdr:from>
    <xdr:to>
      <xdr:col>9</xdr:col>
      <xdr:colOff>485775</xdr:colOff>
      <xdr:row>49</xdr:row>
      <xdr:rowOff>142875</xdr:rowOff>
    </xdr:to>
    <xdr:graphicFrame macro="">
      <xdr:nvGraphicFramePr>
        <xdr:cNvPr id="4341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257175</xdr:colOff>
      <xdr:row>50</xdr:row>
      <xdr:rowOff>9525</xdr:rowOff>
    </xdr:from>
    <xdr:to>
      <xdr:col>8</xdr:col>
      <xdr:colOff>400050</xdr:colOff>
      <xdr:row>58</xdr:row>
      <xdr:rowOff>133350</xdr:rowOff>
    </xdr:to>
    <xdr:sp macro="" textlink="">
      <xdr:nvSpPr>
        <xdr:cNvPr id="43015" name="Text Box 7">
          <a:extLst>
            <a:ext uri="{FF2B5EF4-FFF2-40B4-BE49-F238E27FC236}"/>
          </a:extLst>
        </xdr:cNvPr>
        <xdr:cNvSpPr txBox="1">
          <a:spLocks noChangeArrowheads="1"/>
        </xdr:cNvSpPr>
      </xdr:nvSpPr>
      <xdr:spPr bwMode="auto">
        <a:xfrm>
          <a:off x="866775" y="8105775"/>
          <a:ext cx="4410075" cy="1419225"/>
        </a:xfrm>
        <a:prstGeom prst="rect">
          <a:avLst/>
        </a:prstGeom>
        <a:solidFill>
          <a:srgbClr val="FFFFFF"/>
        </a:solidFill>
        <a:ln w="9525" algn="ctr">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endParaRPr lang="en-AU" sz="1200" b="1" i="0" u="none" strike="noStrike" baseline="0">
            <a:solidFill>
              <a:srgbClr val="000000"/>
            </a:solidFill>
            <a:latin typeface="Arial"/>
            <a:cs typeface="Arial"/>
          </a:endParaRPr>
        </a:p>
        <a:p>
          <a:pPr algn="l" rtl="0">
            <a:defRPr sz="1000"/>
          </a:pPr>
          <a:r>
            <a:rPr lang="en-AU" sz="1200" b="1" i="0" u="none" strike="noStrike" baseline="0">
              <a:solidFill>
                <a:srgbClr val="000000"/>
              </a:solidFill>
              <a:latin typeface="Arial"/>
              <a:cs typeface="Arial"/>
            </a:rPr>
            <a:t>Rations with some low DM components (silage,  by products  etc.) will have different values when "as fed" and DM are compared.  This may be important when calculating growth rates as high growth rates require reasonable % of grain on a DM basis </a:t>
          </a:r>
        </a:p>
      </xdr:txBody>
    </xdr:sp>
    <xdr:clientData/>
  </xdr:twoCellAnchor>
  <xdr:twoCellAnchor>
    <xdr:from>
      <xdr:col>10</xdr:col>
      <xdr:colOff>104775</xdr:colOff>
      <xdr:row>29</xdr:row>
      <xdr:rowOff>76200</xdr:rowOff>
    </xdr:from>
    <xdr:to>
      <xdr:col>18</xdr:col>
      <xdr:colOff>600075</xdr:colOff>
      <xdr:row>54</xdr:row>
      <xdr:rowOff>57150</xdr:rowOff>
    </xdr:to>
    <xdr:graphicFrame macro="">
      <xdr:nvGraphicFramePr>
        <xdr:cNvPr id="43418"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60</xdr:row>
      <xdr:rowOff>38100</xdr:rowOff>
    </xdr:from>
    <xdr:to>
      <xdr:col>1</xdr:col>
      <xdr:colOff>885825</xdr:colOff>
      <xdr:row>64</xdr:row>
      <xdr:rowOff>133350</xdr:rowOff>
    </xdr:to>
    <xdr:pic>
      <xdr:nvPicPr>
        <xdr:cNvPr id="36997" name="Picture 2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300" y="12011025"/>
          <a:ext cx="8001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1057275</xdr:colOff>
      <xdr:row>60</xdr:row>
      <xdr:rowOff>19050</xdr:rowOff>
    </xdr:from>
    <xdr:to>
      <xdr:col>2</xdr:col>
      <xdr:colOff>676275</xdr:colOff>
      <xdr:row>64</xdr:row>
      <xdr:rowOff>152400</xdr:rowOff>
    </xdr:to>
    <xdr:pic>
      <xdr:nvPicPr>
        <xdr:cNvPr id="36998" name="Picture 21" descr="DPI LGO C"/>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28850" y="11991975"/>
          <a:ext cx="154305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9</xdr:col>
      <xdr:colOff>180975</xdr:colOff>
      <xdr:row>23</xdr:row>
      <xdr:rowOff>114300</xdr:rowOff>
    </xdr:from>
    <xdr:to>
      <xdr:col>11</xdr:col>
      <xdr:colOff>409575</xdr:colOff>
      <xdr:row>30</xdr:row>
      <xdr:rowOff>28575</xdr:rowOff>
    </xdr:to>
    <xdr:pic>
      <xdr:nvPicPr>
        <xdr:cNvPr id="42118" name="Picture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20475" y="5391150"/>
          <a:ext cx="1181100"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85725</xdr:colOff>
      <xdr:row>32</xdr:row>
      <xdr:rowOff>104775</xdr:rowOff>
    </xdr:from>
    <xdr:to>
      <xdr:col>12</xdr:col>
      <xdr:colOff>352425</xdr:colOff>
      <xdr:row>38</xdr:row>
      <xdr:rowOff>28575</xdr:rowOff>
    </xdr:to>
    <xdr:pic>
      <xdr:nvPicPr>
        <xdr:cNvPr id="42119" name="Picture 24" descr="DPI LGO C"/>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25225" y="7267575"/>
          <a:ext cx="1828800"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200025</xdr:colOff>
      <xdr:row>23</xdr:row>
      <xdr:rowOff>104775</xdr:rowOff>
    </xdr:from>
    <xdr:to>
      <xdr:col>11</xdr:col>
      <xdr:colOff>152400</xdr:colOff>
      <xdr:row>49</xdr:row>
      <xdr:rowOff>66675</xdr:rowOff>
    </xdr:to>
    <xdr:graphicFrame macro="">
      <xdr:nvGraphicFramePr>
        <xdr:cNvPr id="3619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371475</xdr:colOff>
      <xdr:row>24</xdr:row>
      <xdr:rowOff>9525</xdr:rowOff>
    </xdr:from>
    <xdr:to>
      <xdr:col>3</xdr:col>
      <xdr:colOff>752475</xdr:colOff>
      <xdr:row>43</xdr:row>
      <xdr:rowOff>104775</xdr:rowOff>
    </xdr:to>
    <xdr:graphicFrame macro="">
      <xdr:nvGraphicFramePr>
        <xdr:cNvPr id="3619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295275</xdr:colOff>
      <xdr:row>43</xdr:row>
      <xdr:rowOff>104775</xdr:rowOff>
    </xdr:from>
    <xdr:to>
      <xdr:col>0</xdr:col>
      <xdr:colOff>1676400</xdr:colOff>
      <xdr:row>51</xdr:row>
      <xdr:rowOff>123825</xdr:rowOff>
    </xdr:to>
    <xdr:pic>
      <xdr:nvPicPr>
        <xdr:cNvPr id="36195" name="Picture 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5275" y="9029700"/>
          <a:ext cx="1381125" cy="142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2009775</xdr:colOff>
      <xdr:row>44</xdr:row>
      <xdr:rowOff>28575</xdr:rowOff>
    </xdr:from>
    <xdr:to>
      <xdr:col>3</xdr:col>
      <xdr:colOff>228600</xdr:colOff>
      <xdr:row>50</xdr:row>
      <xdr:rowOff>66675</xdr:rowOff>
    </xdr:to>
    <xdr:pic>
      <xdr:nvPicPr>
        <xdr:cNvPr id="36196" name="Picture 7" descr="DPI LGO C"/>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009775" y="9134475"/>
          <a:ext cx="18288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876300</xdr:colOff>
      <xdr:row>26</xdr:row>
      <xdr:rowOff>85725</xdr:rowOff>
    </xdr:from>
    <xdr:to>
      <xdr:col>15</xdr:col>
      <xdr:colOff>66675</xdr:colOff>
      <xdr:row>46</xdr:row>
      <xdr:rowOff>104775</xdr:rowOff>
    </xdr:to>
    <xdr:graphicFrame macro="">
      <xdr:nvGraphicFramePr>
        <xdr:cNvPr id="36197"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oleObject" Target="../embeddings/Microsoft_Word_97_-_2003_Document3.doc"/><Relationship Id="rId13" Type="http://schemas.openxmlformats.org/officeDocument/2006/relationships/image" Target="../media/image11.emf"/><Relationship Id="rId18" Type="http://schemas.openxmlformats.org/officeDocument/2006/relationships/control" Target="../activeX/activeX7.xml"/><Relationship Id="rId26" Type="http://schemas.openxmlformats.org/officeDocument/2006/relationships/control" Target="../activeX/activeX11.xml"/><Relationship Id="rId3" Type="http://schemas.openxmlformats.org/officeDocument/2006/relationships/vmlDrawing" Target="../drawings/vmlDrawing2.vml"/><Relationship Id="rId21" Type="http://schemas.openxmlformats.org/officeDocument/2006/relationships/image" Target="../media/image15.emf"/><Relationship Id="rId34" Type="http://schemas.openxmlformats.org/officeDocument/2006/relationships/control" Target="../activeX/activeX15.xml"/><Relationship Id="rId7" Type="http://schemas.openxmlformats.org/officeDocument/2006/relationships/image" Target="../media/image8.emf"/><Relationship Id="rId12" Type="http://schemas.openxmlformats.org/officeDocument/2006/relationships/oleObject" Target="../embeddings/Microsoft_Word_97_-_2003_Document5.doc"/><Relationship Id="rId17" Type="http://schemas.openxmlformats.org/officeDocument/2006/relationships/image" Target="../media/image13.emf"/><Relationship Id="rId25" Type="http://schemas.openxmlformats.org/officeDocument/2006/relationships/image" Target="../media/image17.emf"/><Relationship Id="rId33" Type="http://schemas.openxmlformats.org/officeDocument/2006/relationships/image" Target="../media/image21.emf"/><Relationship Id="rId2" Type="http://schemas.openxmlformats.org/officeDocument/2006/relationships/drawing" Target="../drawings/drawing2.xml"/><Relationship Id="rId16" Type="http://schemas.openxmlformats.org/officeDocument/2006/relationships/control" Target="../activeX/activeX6.xml"/><Relationship Id="rId20" Type="http://schemas.openxmlformats.org/officeDocument/2006/relationships/control" Target="../activeX/activeX8.xml"/><Relationship Id="rId29" Type="http://schemas.openxmlformats.org/officeDocument/2006/relationships/image" Target="../media/image19.emf"/><Relationship Id="rId1" Type="http://schemas.openxmlformats.org/officeDocument/2006/relationships/printerSettings" Target="../printerSettings/printerSettings2.bin"/><Relationship Id="rId6" Type="http://schemas.openxmlformats.org/officeDocument/2006/relationships/oleObject" Target="../embeddings/Microsoft_Word_97_-_2003_Document2.doc"/><Relationship Id="rId11" Type="http://schemas.openxmlformats.org/officeDocument/2006/relationships/image" Target="../media/image10.emf"/><Relationship Id="rId24" Type="http://schemas.openxmlformats.org/officeDocument/2006/relationships/control" Target="../activeX/activeX10.xml"/><Relationship Id="rId32" Type="http://schemas.openxmlformats.org/officeDocument/2006/relationships/control" Target="../activeX/activeX14.xml"/><Relationship Id="rId5" Type="http://schemas.openxmlformats.org/officeDocument/2006/relationships/image" Target="../media/image7.emf"/><Relationship Id="rId15" Type="http://schemas.openxmlformats.org/officeDocument/2006/relationships/image" Target="../media/image12.emf"/><Relationship Id="rId23" Type="http://schemas.openxmlformats.org/officeDocument/2006/relationships/image" Target="../media/image16.emf"/><Relationship Id="rId28" Type="http://schemas.openxmlformats.org/officeDocument/2006/relationships/control" Target="../activeX/activeX12.xml"/><Relationship Id="rId10" Type="http://schemas.openxmlformats.org/officeDocument/2006/relationships/oleObject" Target="../embeddings/Microsoft_Word_97_-_2003_Document4.doc"/><Relationship Id="rId19" Type="http://schemas.openxmlformats.org/officeDocument/2006/relationships/image" Target="../media/image14.emf"/><Relationship Id="rId31" Type="http://schemas.openxmlformats.org/officeDocument/2006/relationships/image" Target="../media/image20.emf"/><Relationship Id="rId4" Type="http://schemas.openxmlformats.org/officeDocument/2006/relationships/oleObject" Target="../embeddings/Microsoft_Word_97_-_2003_Document1.doc"/><Relationship Id="rId9" Type="http://schemas.openxmlformats.org/officeDocument/2006/relationships/image" Target="../media/image9.emf"/><Relationship Id="rId14" Type="http://schemas.openxmlformats.org/officeDocument/2006/relationships/control" Target="../activeX/activeX5.xml"/><Relationship Id="rId22" Type="http://schemas.openxmlformats.org/officeDocument/2006/relationships/control" Target="../activeX/activeX9.xml"/><Relationship Id="rId27" Type="http://schemas.openxmlformats.org/officeDocument/2006/relationships/image" Target="../media/image18.emf"/><Relationship Id="rId30" Type="http://schemas.openxmlformats.org/officeDocument/2006/relationships/control" Target="../activeX/activeX13.xml"/><Relationship Id="rId35" Type="http://schemas.openxmlformats.org/officeDocument/2006/relationships/image" Target="../media/image22.emf"/></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8.xml"/><Relationship Id="rId13" Type="http://schemas.openxmlformats.org/officeDocument/2006/relationships/image" Target="../media/image27.emf"/><Relationship Id="rId3" Type="http://schemas.openxmlformats.org/officeDocument/2006/relationships/vmlDrawing" Target="../drawings/vmlDrawing3.vml"/><Relationship Id="rId7" Type="http://schemas.openxmlformats.org/officeDocument/2006/relationships/image" Target="../media/image24.emf"/><Relationship Id="rId12" Type="http://schemas.openxmlformats.org/officeDocument/2006/relationships/control" Target="../activeX/activeX2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17.xml"/><Relationship Id="rId11" Type="http://schemas.openxmlformats.org/officeDocument/2006/relationships/image" Target="../media/image26.emf"/><Relationship Id="rId5" Type="http://schemas.openxmlformats.org/officeDocument/2006/relationships/image" Target="../media/image23.emf"/><Relationship Id="rId15" Type="http://schemas.openxmlformats.org/officeDocument/2006/relationships/image" Target="../media/image28.emf"/><Relationship Id="rId10" Type="http://schemas.openxmlformats.org/officeDocument/2006/relationships/control" Target="../activeX/activeX19.xml"/><Relationship Id="rId4" Type="http://schemas.openxmlformats.org/officeDocument/2006/relationships/control" Target="../activeX/activeX16.xml"/><Relationship Id="rId9" Type="http://schemas.openxmlformats.org/officeDocument/2006/relationships/image" Target="../media/image25.emf"/><Relationship Id="rId14" Type="http://schemas.openxmlformats.org/officeDocument/2006/relationships/control" Target="../activeX/activeX21.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24.xml"/><Relationship Id="rId13" Type="http://schemas.openxmlformats.org/officeDocument/2006/relationships/image" Target="../media/image34.emf"/><Relationship Id="rId18" Type="http://schemas.openxmlformats.org/officeDocument/2006/relationships/control" Target="../activeX/activeX29.xml"/><Relationship Id="rId26" Type="http://schemas.openxmlformats.org/officeDocument/2006/relationships/comments" Target="../comments2.xml"/><Relationship Id="rId3" Type="http://schemas.openxmlformats.org/officeDocument/2006/relationships/vmlDrawing" Target="../drawings/vmlDrawing4.vml"/><Relationship Id="rId21" Type="http://schemas.openxmlformats.org/officeDocument/2006/relationships/image" Target="../media/image38.emf"/><Relationship Id="rId7" Type="http://schemas.openxmlformats.org/officeDocument/2006/relationships/image" Target="../media/image31.emf"/><Relationship Id="rId12" Type="http://schemas.openxmlformats.org/officeDocument/2006/relationships/control" Target="../activeX/activeX26.xml"/><Relationship Id="rId17" Type="http://schemas.openxmlformats.org/officeDocument/2006/relationships/image" Target="../media/image36.emf"/><Relationship Id="rId25" Type="http://schemas.openxmlformats.org/officeDocument/2006/relationships/image" Target="../media/image40.emf"/><Relationship Id="rId2" Type="http://schemas.openxmlformats.org/officeDocument/2006/relationships/drawing" Target="../drawings/drawing4.xml"/><Relationship Id="rId16" Type="http://schemas.openxmlformats.org/officeDocument/2006/relationships/control" Target="../activeX/activeX28.xml"/><Relationship Id="rId20" Type="http://schemas.openxmlformats.org/officeDocument/2006/relationships/control" Target="../activeX/activeX30.xml"/><Relationship Id="rId1" Type="http://schemas.openxmlformats.org/officeDocument/2006/relationships/printerSettings" Target="../printerSettings/printerSettings4.bin"/><Relationship Id="rId6" Type="http://schemas.openxmlformats.org/officeDocument/2006/relationships/control" Target="../activeX/activeX23.xml"/><Relationship Id="rId11" Type="http://schemas.openxmlformats.org/officeDocument/2006/relationships/image" Target="../media/image33.emf"/><Relationship Id="rId24" Type="http://schemas.openxmlformats.org/officeDocument/2006/relationships/control" Target="../activeX/activeX32.xml"/><Relationship Id="rId5" Type="http://schemas.openxmlformats.org/officeDocument/2006/relationships/image" Target="../media/image30.emf"/><Relationship Id="rId15" Type="http://schemas.openxmlformats.org/officeDocument/2006/relationships/image" Target="../media/image35.emf"/><Relationship Id="rId23" Type="http://schemas.openxmlformats.org/officeDocument/2006/relationships/image" Target="../media/image39.emf"/><Relationship Id="rId10" Type="http://schemas.openxmlformats.org/officeDocument/2006/relationships/control" Target="../activeX/activeX25.xml"/><Relationship Id="rId19" Type="http://schemas.openxmlformats.org/officeDocument/2006/relationships/image" Target="../media/image37.emf"/><Relationship Id="rId4" Type="http://schemas.openxmlformats.org/officeDocument/2006/relationships/control" Target="../activeX/activeX22.xml"/><Relationship Id="rId9" Type="http://schemas.openxmlformats.org/officeDocument/2006/relationships/image" Target="../media/image32.emf"/><Relationship Id="rId14" Type="http://schemas.openxmlformats.org/officeDocument/2006/relationships/control" Target="../activeX/activeX27.xml"/><Relationship Id="rId22" Type="http://schemas.openxmlformats.org/officeDocument/2006/relationships/control" Target="../activeX/activeX3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mments" Target="../comments3.xml"/><Relationship Id="rId5" Type="http://schemas.openxmlformats.org/officeDocument/2006/relationships/image" Target="../media/image41.emf"/><Relationship Id="rId4" Type="http://schemas.openxmlformats.org/officeDocument/2006/relationships/control" Target="../activeX/activeX3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42.emf"/><Relationship Id="rId4" Type="http://schemas.openxmlformats.org/officeDocument/2006/relationships/control" Target="../activeX/activeX3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43.emf"/><Relationship Id="rId4" Type="http://schemas.openxmlformats.org/officeDocument/2006/relationships/control" Target="../activeX/activeX3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P157"/>
  <sheetViews>
    <sheetView zoomScale="70" workbookViewId="0">
      <selection activeCell="D17" sqref="D17"/>
    </sheetView>
  </sheetViews>
  <sheetFormatPr defaultRowHeight="12.75" x14ac:dyDescent="0.2"/>
  <cols>
    <col min="1" max="1" width="1.28515625" style="119" customWidth="1"/>
    <col min="2" max="2" width="50.28515625" style="119" customWidth="1"/>
    <col min="3" max="3" width="14" style="119" customWidth="1"/>
    <col min="4" max="4" width="14.85546875" style="119" customWidth="1"/>
    <col min="5" max="5" width="10.5703125" style="119" customWidth="1"/>
    <col min="6" max="6" width="28.28515625" style="119" customWidth="1"/>
    <col min="7" max="7" width="21.140625" style="119" customWidth="1"/>
    <col min="8" max="8" width="15" style="119" customWidth="1"/>
    <col min="9" max="9" width="7.5703125" style="119" customWidth="1"/>
    <col min="10" max="11" width="9.140625" style="119"/>
    <col min="12" max="12" width="11.42578125" style="119" customWidth="1"/>
    <col min="13" max="13" width="39.5703125" style="119" customWidth="1"/>
    <col min="14" max="16384" width="9.140625" style="119"/>
  </cols>
  <sheetData>
    <row r="1" spans="1:16" ht="33.75" x14ac:dyDescent="0.5">
      <c r="A1" s="132"/>
      <c r="B1" s="874" t="s">
        <v>538</v>
      </c>
      <c r="C1" s="875"/>
      <c r="D1" s="875"/>
      <c r="E1" s="875"/>
      <c r="F1" s="875"/>
      <c r="G1" s="875"/>
      <c r="H1" s="131"/>
      <c r="I1" s="132"/>
      <c r="J1" s="132"/>
      <c r="K1" s="132"/>
      <c r="L1" s="132"/>
      <c r="M1" s="132"/>
      <c r="N1" s="132"/>
      <c r="O1" s="132"/>
      <c r="P1" s="132"/>
    </row>
    <row r="2" spans="1:16" ht="18.75" thickBot="1" x14ac:dyDescent="0.3">
      <c r="A2" s="132"/>
      <c r="B2" s="133" t="s">
        <v>300</v>
      </c>
      <c r="C2" s="134"/>
      <c r="D2" s="134"/>
      <c r="E2" s="132"/>
      <c r="F2" s="876" t="s">
        <v>301</v>
      </c>
      <c r="G2" s="876"/>
      <c r="H2" s="876"/>
      <c r="I2" s="132"/>
      <c r="J2" s="132"/>
      <c r="K2" s="132"/>
      <c r="L2" s="132"/>
      <c r="M2" s="132"/>
      <c r="N2" s="132"/>
      <c r="O2" s="132"/>
      <c r="P2" s="132"/>
    </row>
    <row r="3" spans="1:16" ht="18" x14ac:dyDescent="0.25">
      <c r="A3" s="132"/>
      <c r="B3" s="470" t="s">
        <v>494</v>
      </c>
      <c r="C3" s="471">
        <v>1</v>
      </c>
      <c r="D3" s="472" t="str">
        <f>VLOOKUP(C3,L79:M80,2,FALSE)</f>
        <v>LAMB</v>
      </c>
      <c r="E3" s="132"/>
      <c r="F3" s="877" t="s">
        <v>302</v>
      </c>
      <c r="G3" s="878"/>
      <c r="H3" s="879"/>
      <c r="I3" s="132"/>
      <c r="J3" s="132"/>
      <c r="K3" s="132"/>
      <c r="L3" s="132"/>
      <c r="M3" s="132"/>
      <c r="N3" s="132"/>
      <c r="O3" s="132"/>
      <c r="P3" s="132"/>
    </row>
    <row r="4" spans="1:16" ht="15.75" x14ac:dyDescent="0.25">
      <c r="A4" s="132"/>
      <c r="B4" s="473" t="s">
        <v>433</v>
      </c>
      <c r="C4" s="274" t="s">
        <v>434</v>
      </c>
      <c r="D4" s="427">
        <v>35</v>
      </c>
      <c r="E4" s="132"/>
      <c r="F4" s="125" t="s">
        <v>163</v>
      </c>
      <c r="G4" s="235" t="s">
        <v>182</v>
      </c>
      <c r="H4" s="232">
        <f>((D6+D4)/2)*D13*0.01</f>
        <v>1.4175</v>
      </c>
      <c r="I4" s="132"/>
      <c r="J4" s="132"/>
      <c r="K4" s="132"/>
      <c r="L4" s="132"/>
      <c r="M4" s="132"/>
      <c r="N4" s="132"/>
      <c r="O4" s="132"/>
      <c r="P4" s="132"/>
    </row>
    <row r="5" spans="1:16" ht="15.75" x14ac:dyDescent="0.25">
      <c r="A5" s="132"/>
      <c r="B5" s="474" t="s">
        <v>502</v>
      </c>
      <c r="C5" s="274" t="s">
        <v>58</v>
      </c>
      <c r="D5" s="475">
        <v>200</v>
      </c>
      <c r="E5" s="132"/>
      <c r="F5" s="125" t="s">
        <v>4</v>
      </c>
      <c r="G5" s="235" t="s">
        <v>519</v>
      </c>
      <c r="H5" s="423">
        <f>IF(H7&lt;0,"",IF(H6&lt;0.01,"",H4*1000/H7))</f>
        <v>5.0625</v>
      </c>
      <c r="I5" s="132"/>
      <c r="J5" s="132"/>
      <c r="K5" s="132"/>
      <c r="L5" s="132"/>
      <c r="M5" s="132"/>
      <c r="N5" s="132"/>
      <c r="O5" s="132"/>
      <c r="P5" s="132"/>
    </row>
    <row r="6" spans="1:16" ht="15.75" x14ac:dyDescent="0.25">
      <c r="A6" s="132"/>
      <c r="B6" s="473" t="s">
        <v>437</v>
      </c>
      <c r="C6" s="274" t="s">
        <v>438</v>
      </c>
      <c r="D6" s="455">
        <v>46</v>
      </c>
      <c r="E6" s="132"/>
      <c r="F6" s="125" t="s">
        <v>15</v>
      </c>
      <c r="G6" s="235" t="s">
        <v>77</v>
      </c>
      <c r="H6" s="423">
        <f>+D6-D4</f>
        <v>11</v>
      </c>
      <c r="I6" s="132"/>
      <c r="J6" s="132"/>
      <c r="K6" s="132"/>
      <c r="L6" s="132"/>
      <c r="M6" s="132"/>
      <c r="N6" s="132"/>
      <c r="O6" s="132"/>
      <c r="P6" s="132"/>
    </row>
    <row r="7" spans="1:16" ht="15.75" x14ac:dyDescent="0.25">
      <c r="A7" s="132"/>
      <c r="B7" s="473" t="s">
        <v>275</v>
      </c>
      <c r="C7" s="274" t="s">
        <v>83</v>
      </c>
      <c r="D7" s="465">
        <v>47</v>
      </c>
      <c r="E7" s="132"/>
      <c r="F7" s="306" t="s">
        <v>520</v>
      </c>
      <c r="G7" s="436" t="s">
        <v>521</v>
      </c>
      <c r="H7" s="434">
        <f>IF(D12&gt;0.01,H6*1000/H8,D11)</f>
        <v>280</v>
      </c>
      <c r="I7" s="132"/>
      <c r="J7" s="132"/>
      <c r="K7" s="132"/>
      <c r="L7" s="132"/>
      <c r="M7" s="132"/>
      <c r="N7" s="132"/>
      <c r="O7" s="132"/>
      <c r="P7" s="132"/>
    </row>
    <row r="8" spans="1:16" ht="15.75" x14ac:dyDescent="0.25">
      <c r="A8" s="132"/>
      <c r="B8" s="476" t="s">
        <v>274</v>
      </c>
      <c r="C8" s="274" t="s">
        <v>439</v>
      </c>
      <c r="D8" s="454">
        <v>9</v>
      </c>
      <c r="E8" s="132"/>
      <c r="F8" s="125" t="s">
        <v>78</v>
      </c>
      <c r="G8" s="235" t="s">
        <v>1</v>
      </c>
      <c r="H8" s="434">
        <f>IF(D12="",H6*1000/D11,D12)</f>
        <v>39.285714285714285</v>
      </c>
      <c r="I8" s="132"/>
      <c r="J8" s="132"/>
      <c r="K8" s="132"/>
      <c r="L8" s="132"/>
      <c r="M8" s="132"/>
      <c r="N8" s="132"/>
      <c r="O8" s="132"/>
      <c r="P8" s="132"/>
    </row>
    <row r="9" spans="1:16" ht="15.75" x14ac:dyDescent="0.25">
      <c r="A9" s="132"/>
      <c r="B9" s="476" t="s">
        <v>46</v>
      </c>
      <c r="C9" s="274" t="s">
        <v>435</v>
      </c>
      <c r="D9" s="454">
        <v>40</v>
      </c>
      <c r="E9" s="132"/>
      <c r="F9" s="125" t="s">
        <v>303</v>
      </c>
      <c r="G9" s="235" t="s">
        <v>304</v>
      </c>
      <c r="H9" s="232">
        <f>(H4*100/D45)*(100+D43)/100</f>
        <v>1.678366035182679</v>
      </c>
      <c r="I9" s="132"/>
      <c r="J9" s="132"/>
      <c r="K9" s="132"/>
      <c r="L9" s="132"/>
      <c r="M9" s="132"/>
      <c r="N9" s="132"/>
      <c r="O9" s="132"/>
      <c r="P9" s="132"/>
    </row>
    <row r="10" spans="1:16" ht="16.5" thickBot="1" x14ac:dyDescent="0.3">
      <c r="A10" s="132"/>
      <c r="B10" s="477" t="s">
        <v>440</v>
      </c>
      <c r="C10" s="274" t="s">
        <v>58</v>
      </c>
      <c r="D10" s="475"/>
      <c r="E10" s="132"/>
      <c r="F10" s="137" t="s">
        <v>305</v>
      </c>
      <c r="G10" s="223" t="s">
        <v>306</v>
      </c>
      <c r="H10" s="425">
        <f>IF(H8="","",H9*H8)</f>
        <v>65.935808525033821</v>
      </c>
      <c r="I10" s="132"/>
      <c r="J10" s="132"/>
      <c r="K10" s="132"/>
      <c r="L10" s="132"/>
      <c r="M10" s="132"/>
      <c r="N10" s="132"/>
      <c r="O10" s="132"/>
      <c r="P10" s="132"/>
    </row>
    <row r="11" spans="1:16" ht="16.5" thickBot="1" x14ac:dyDescent="0.3">
      <c r="A11" s="132"/>
      <c r="B11" s="473" t="s">
        <v>268</v>
      </c>
      <c r="C11" s="274" t="s">
        <v>59</v>
      </c>
      <c r="D11" s="427">
        <v>280</v>
      </c>
      <c r="E11" s="132"/>
      <c r="F11" s="138" t="s">
        <v>337</v>
      </c>
      <c r="G11" s="437" t="s">
        <v>307</v>
      </c>
      <c r="H11" s="435">
        <f>G68/F68</f>
        <v>21.311052631578949</v>
      </c>
      <c r="I11" s="132"/>
      <c r="J11" s="132"/>
      <c r="K11" s="132"/>
      <c r="L11" s="132"/>
      <c r="M11" s="132"/>
      <c r="N11" s="132"/>
      <c r="O11" s="132"/>
      <c r="P11" s="132"/>
    </row>
    <row r="12" spans="1:16" ht="16.5" thickBot="1" x14ac:dyDescent="0.3">
      <c r="A12" s="132"/>
      <c r="B12" s="477" t="s">
        <v>378</v>
      </c>
      <c r="C12" s="274" t="s">
        <v>441</v>
      </c>
      <c r="D12" s="478"/>
      <c r="E12" s="132"/>
      <c r="F12" s="132"/>
      <c r="G12" s="132"/>
      <c r="H12" s="132"/>
      <c r="I12" s="132"/>
      <c r="J12" s="132"/>
      <c r="K12" s="132"/>
      <c r="L12" s="132"/>
      <c r="M12" s="132"/>
      <c r="N12" s="132"/>
      <c r="O12" s="132"/>
      <c r="P12" s="132"/>
    </row>
    <row r="13" spans="1:16" ht="18.75" thickBot="1" x14ac:dyDescent="0.3">
      <c r="A13" s="132"/>
      <c r="B13" s="476" t="s">
        <v>552</v>
      </c>
      <c r="C13" s="274" t="s">
        <v>442</v>
      </c>
      <c r="D13" s="460">
        <v>3.5</v>
      </c>
      <c r="E13" s="132"/>
      <c r="F13" s="877" t="s">
        <v>308</v>
      </c>
      <c r="G13" s="878"/>
      <c r="H13" s="879"/>
      <c r="I13" s="132"/>
      <c r="J13" s="132"/>
      <c r="K13" s="132"/>
      <c r="L13" s="132"/>
      <c r="M13" s="132"/>
      <c r="N13" s="132"/>
      <c r="O13" s="132"/>
      <c r="P13" s="132"/>
    </row>
    <row r="14" spans="1:16" ht="18" customHeight="1" thickBot="1" x14ac:dyDescent="0.35">
      <c r="A14" s="132"/>
      <c r="B14" s="476" t="s">
        <v>553</v>
      </c>
      <c r="C14" s="274" t="s">
        <v>73</v>
      </c>
      <c r="D14" s="454">
        <v>7</v>
      </c>
      <c r="E14" s="132"/>
      <c r="F14" s="125" t="s">
        <v>309</v>
      </c>
      <c r="G14" s="235" t="s">
        <v>58</v>
      </c>
      <c r="H14" s="232">
        <f>IF($D$10&lt;1,K65,L65)</f>
        <v>234.58</v>
      </c>
      <c r="I14" s="132"/>
      <c r="J14" s="107" t="s">
        <v>276</v>
      </c>
      <c r="K14" s="108" t="s">
        <v>310</v>
      </c>
      <c r="L14" s="108"/>
      <c r="M14" s="139"/>
      <c r="N14" s="132"/>
      <c r="O14" s="132"/>
      <c r="P14" s="132"/>
    </row>
    <row r="15" spans="1:16" ht="15.75" x14ac:dyDescent="0.25">
      <c r="A15" s="132"/>
      <c r="B15" s="476" t="s">
        <v>554</v>
      </c>
      <c r="C15" s="274" t="s">
        <v>482</v>
      </c>
      <c r="D15" s="454">
        <v>10</v>
      </c>
      <c r="E15" s="132"/>
      <c r="F15" s="125" t="s">
        <v>311</v>
      </c>
      <c r="G15" s="235" t="s">
        <v>58</v>
      </c>
      <c r="H15" s="232">
        <f>IF(D19=0,"",IF($D$10&lt;1,K66,L66))</f>
        <v>100</v>
      </c>
      <c r="I15" s="132"/>
      <c r="J15" s="132"/>
      <c r="K15" s="132"/>
      <c r="L15" s="132"/>
      <c r="M15" s="132"/>
      <c r="N15" s="132"/>
      <c r="O15" s="132"/>
      <c r="P15" s="132"/>
    </row>
    <row r="16" spans="1:16" ht="15.75" x14ac:dyDescent="0.25">
      <c r="A16" s="132"/>
      <c r="B16" s="476" t="s">
        <v>86</v>
      </c>
      <c r="C16" s="274" t="s">
        <v>83</v>
      </c>
      <c r="D16" s="465">
        <v>5</v>
      </c>
      <c r="E16" s="132"/>
      <c r="F16" s="125" t="s">
        <v>312</v>
      </c>
      <c r="G16" s="235" t="s">
        <v>58</v>
      </c>
      <c r="H16" s="232">
        <f>IF(D10&gt;0,L67,K67)</f>
        <v>143.4</v>
      </c>
      <c r="I16" s="132"/>
      <c r="J16" s="132"/>
      <c r="K16" s="132"/>
      <c r="L16" s="132"/>
      <c r="M16" s="132"/>
      <c r="N16" s="132"/>
      <c r="O16" s="132"/>
      <c r="P16" s="132"/>
    </row>
    <row r="17" spans="1:16" ht="15.75" x14ac:dyDescent="0.25">
      <c r="A17" s="132"/>
      <c r="B17" s="476" t="s">
        <v>85</v>
      </c>
      <c r="C17" s="274" t="s">
        <v>83</v>
      </c>
      <c r="D17" s="465">
        <v>80</v>
      </c>
      <c r="E17" s="132"/>
      <c r="F17" s="125" t="s">
        <v>313</v>
      </c>
      <c r="G17" s="235" t="s">
        <v>58</v>
      </c>
      <c r="H17" s="232">
        <f>D14*D15</f>
        <v>70</v>
      </c>
      <c r="I17" s="132"/>
      <c r="J17" s="132"/>
      <c r="K17" s="132"/>
      <c r="L17" s="132"/>
      <c r="M17" s="132"/>
      <c r="N17" s="132"/>
      <c r="O17" s="132"/>
      <c r="P17" s="132"/>
    </row>
    <row r="18" spans="1:16" ht="18.75" thickBot="1" x14ac:dyDescent="0.3">
      <c r="A18" s="132"/>
      <c r="B18" s="476" t="s">
        <v>87</v>
      </c>
      <c r="C18" s="274" t="s">
        <v>83</v>
      </c>
      <c r="D18" s="465">
        <v>5</v>
      </c>
      <c r="E18" s="132"/>
      <c r="F18" s="447" t="s">
        <v>314</v>
      </c>
      <c r="G18" s="448"/>
      <c r="H18" s="449">
        <f>IF(D10&lt;1,J70+H17,M70+H17)</f>
        <v>274.834</v>
      </c>
      <c r="I18" s="132"/>
      <c r="J18" s="132"/>
      <c r="K18" s="132"/>
      <c r="L18" s="132"/>
      <c r="M18" s="132"/>
      <c r="N18" s="132"/>
      <c r="O18" s="132"/>
      <c r="P18" s="132"/>
    </row>
    <row r="19" spans="1:16" ht="16.5" thickBot="1" x14ac:dyDescent="0.3">
      <c r="A19" s="132"/>
      <c r="B19" s="476" t="s">
        <v>88</v>
      </c>
      <c r="C19" s="274" t="s">
        <v>83</v>
      </c>
      <c r="D19" s="479">
        <f>100-D18-D17-D16</f>
        <v>10</v>
      </c>
      <c r="E19" s="132"/>
      <c r="F19" s="132"/>
      <c r="G19" s="132"/>
      <c r="H19" s="132"/>
      <c r="I19" s="132"/>
      <c r="J19" s="132"/>
      <c r="K19" s="132"/>
      <c r="L19" s="132"/>
      <c r="M19" s="132"/>
      <c r="N19" s="132"/>
      <c r="O19" s="132"/>
      <c r="P19" s="132"/>
    </row>
    <row r="20" spans="1:16" ht="18" x14ac:dyDescent="0.25">
      <c r="A20" s="132"/>
      <c r="B20" s="474" t="s">
        <v>429</v>
      </c>
      <c r="C20" s="274" t="s">
        <v>58</v>
      </c>
      <c r="D20" s="475">
        <v>100</v>
      </c>
      <c r="E20" s="132"/>
      <c r="F20" s="877" t="s">
        <v>316</v>
      </c>
      <c r="G20" s="878"/>
      <c r="H20" s="879"/>
      <c r="I20" s="132"/>
      <c r="J20" s="132"/>
      <c r="K20" s="132"/>
      <c r="L20" s="132"/>
      <c r="M20" s="132"/>
      <c r="N20" s="132"/>
      <c r="O20" s="132"/>
      <c r="P20" s="132"/>
    </row>
    <row r="21" spans="1:16" ht="16.5" thickBot="1" x14ac:dyDescent="0.3">
      <c r="A21" s="132"/>
      <c r="B21" s="480" t="s">
        <v>145</v>
      </c>
      <c r="C21" s="468" t="s">
        <v>83</v>
      </c>
      <c r="D21" s="481">
        <v>10</v>
      </c>
      <c r="E21" s="132"/>
      <c r="F21" s="125" t="s">
        <v>122</v>
      </c>
      <c r="G21" s="235" t="s">
        <v>58</v>
      </c>
      <c r="H21" s="232">
        <f>G81</f>
        <v>200</v>
      </c>
      <c r="I21" s="132"/>
      <c r="J21" s="132"/>
      <c r="K21" s="132"/>
      <c r="L21" s="132"/>
      <c r="M21" s="132"/>
      <c r="N21" s="132"/>
      <c r="O21" s="132"/>
      <c r="P21" s="132"/>
    </row>
    <row r="22" spans="1:16" ht="16.5" thickBot="1" x14ac:dyDescent="0.3">
      <c r="A22" s="132"/>
      <c r="B22" s="880" t="str">
        <f>IF(D19&lt;0,"  ERROR -2ND DRAFT MUST BE ABOVE 0 - CHANGE ABOVE VALUES ",IF(ISBLANK(D17),"ERROR- 1ST DRAFT MUST HAVE A VALUE ABOVE 30",""))</f>
        <v/>
      </c>
      <c r="C22" s="880"/>
      <c r="D22" s="880"/>
      <c r="E22" s="132"/>
      <c r="F22" s="125" t="s">
        <v>318</v>
      </c>
      <c r="G22" s="235" t="s">
        <v>58</v>
      </c>
      <c r="H22" s="232">
        <f>D85</f>
        <v>4.8833333333333329</v>
      </c>
      <c r="I22" s="132"/>
      <c r="J22" s="132"/>
      <c r="K22" s="132"/>
      <c r="L22" s="132"/>
      <c r="M22" s="132"/>
      <c r="N22" s="132"/>
      <c r="O22" s="132"/>
      <c r="P22" s="132"/>
    </row>
    <row r="23" spans="1:16" ht="15.75" x14ac:dyDescent="0.25">
      <c r="A23" s="132"/>
      <c r="B23" s="450" t="s">
        <v>315</v>
      </c>
      <c r="C23" s="451"/>
      <c r="D23" s="452"/>
      <c r="E23" s="132"/>
      <c r="F23" s="125" t="s">
        <v>484</v>
      </c>
      <c r="G23" s="235" t="s">
        <v>58</v>
      </c>
      <c r="H23" s="232">
        <f>G91</f>
        <v>19.219341878669276</v>
      </c>
      <c r="I23" s="132"/>
      <c r="J23" s="132"/>
      <c r="K23" s="141"/>
      <c r="L23" s="141"/>
      <c r="M23" s="141"/>
      <c r="N23" s="132"/>
      <c r="O23" s="132"/>
      <c r="P23" s="132"/>
    </row>
    <row r="24" spans="1:16" ht="15.75" x14ac:dyDescent="0.25">
      <c r="A24" s="132"/>
      <c r="B24" s="453" t="s">
        <v>61</v>
      </c>
      <c r="C24" s="274" t="s">
        <v>63</v>
      </c>
      <c r="D24" s="454">
        <v>3</v>
      </c>
      <c r="E24" s="132"/>
      <c r="F24" s="125" t="s">
        <v>75</v>
      </c>
      <c r="G24" s="235" t="s">
        <v>58</v>
      </c>
      <c r="H24" s="232">
        <f>D41*0.01*H8</f>
        <v>1.9642857142857144</v>
      </c>
      <c r="I24" s="132"/>
      <c r="J24" s="132"/>
      <c r="K24" s="141"/>
      <c r="L24" s="141"/>
      <c r="M24" s="141"/>
      <c r="N24" s="132"/>
      <c r="O24" s="132"/>
      <c r="P24" s="132"/>
    </row>
    <row r="25" spans="1:16" ht="15.75" x14ac:dyDescent="0.25">
      <c r="A25" s="132"/>
      <c r="B25" s="453" t="s">
        <v>6</v>
      </c>
      <c r="C25" s="274" t="s">
        <v>63</v>
      </c>
      <c r="D25" s="454"/>
      <c r="E25" s="132"/>
      <c r="F25" s="125" t="s">
        <v>233</v>
      </c>
      <c r="G25" s="235" t="s">
        <v>58</v>
      </c>
      <c r="H25" s="232">
        <f>(D42+D44)*0.001*H10</f>
        <v>20.093937648004058</v>
      </c>
      <c r="I25" s="750" t="str">
        <f>IF(H25&lt;0,"CHECK","")</f>
        <v/>
      </c>
      <c r="J25" s="132"/>
      <c r="K25" s="141"/>
      <c r="L25" s="141"/>
      <c r="M25" s="141"/>
      <c r="N25" s="132"/>
      <c r="O25" s="132"/>
      <c r="P25" s="132"/>
    </row>
    <row r="26" spans="1:16" ht="15.75" x14ac:dyDescent="0.25">
      <c r="A26" s="132"/>
      <c r="B26" s="453" t="s">
        <v>64</v>
      </c>
      <c r="C26" s="274" t="s">
        <v>63</v>
      </c>
      <c r="D26" s="455">
        <v>0.25</v>
      </c>
      <c r="E26" s="132"/>
      <c r="F26" s="125" t="s">
        <v>70</v>
      </c>
      <c r="G26" s="235" t="s">
        <v>58</v>
      </c>
      <c r="H26" s="232">
        <f>D37</f>
        <v>0.5</v>
      </c>
      <c r="I26" s="132"/>
      <c r="J26" s="132"/>
      <c r="K26" s="141"/>
      <c r="L26" s="141"/>
      <c r="M26" s="141"/>
      <c r="N26" s="132"/>
      <c r="O26" s="132"/>
      <c r="P26" s="132"/>
    </row>
    <row r="27" spans="1:16" ht="18.75" thickBot="1" x14ac:dyDescent="0.3">
      <c r="A27" s="132"/>
      <c r="B27" s="453" t="s">
        <v>555</v>
      </c>
      <c r="C27" s="274" t="s">
        <v>63</v>
      </c>
      <c r="D27" s="454">
        <v>0.25</v>
      </c>
      <c r="E27" s="132"/>
      <c r="F27" s="447" t="s">
        <v>106</v>
      </c>
      <c r="G27" s="448"/>
      <c r="H27" s="449">
        <f>SUM(H21:H26)</f>
        <v>246.66089857429239</v>
      </c>
      <c r="I27" s="132"/>
      <c r="J27" s="132"/>
      <c r="K27" s="141"/>
      <c r="L27" s="141"/>
      <c r="M27" s="141"/>
      <c r="N27" s="132"/>
      <c r="O27" s="132"/>
      <c r="P27" s="132"/>
    </row>
    <row r="28" spans="1:16" ht="20.25" x14ac:dyDescent="0.3">
      <c r="A28" s="132"/>
      <c r="B28" s="456" t="s">
        <v>395</v>
      </c>
      <c r="C28" s="274" t="s">
        <v>63</v>
      </c>
      <c r="D28" s="454"/>
      <c r="E28" s="132"/>
      <c r="F28" s="140" t="str">
        <f>IF(H28&gt;0.01,F60,F61)</f>
        <v>PROFIT ($/lamb)</v>
      </c>
      <c r="G28" s="140"/>
      <c r="H28" s="442">
        <f>H18-H27</f>
        <v>28.173101425707614</v>
      </c>
      <c r="I28" s="750"/>
      <c r="J28" s="132"/>
      <c r="K28" s="132"/>
      <c r="L28" s="132"/>
      <c r="M28" s="132"/>
      <c r="N28" s="132"/>
      <c r="O28" s="132"/>
      <c r="P28" s="132"/>
    </row>
    <row r="29" spans="1:16" ht="15.75" x14ac:dyDescent="0.25">
      <c r="A29" s="132"/>
      <c r="B29" s="322" t="s">
        <v>269</v>
      </c>
      <c r="C29" s="274" t="s">
        <v>63</v>
      </c>
      <c r="D29" s="454">
        <v>0.25</v>
      </c>
      <c r="E29" s="132"/>
      <c r="F29" s="751" t="str">
        <f>IF(H25&lt;0,"CHECK  inputs-relating to time on feed and feed fed","")</f>
        <v/>
      </c>
      <c r="G29" s="751"/>
      <c r="H29" s="752"/>
      <c r="I29" s="132"/>
      <c r="J29" s="132"/>
      <c r="K29" s="141"/>
      <c r="L29" s="141"/>
      <c r="M29" s="141"/>
      <c r="N29" s="132"/>
      <c r="O29" s="132"/>
      <c r="P29" s="132"/>
    </row>
    <row r="30" spans="1:16" ht="18" x14ac:dyDescent="0.25">
      <c r="A30" s="132"/>
      <c r="B30" s="457" t="s">
        <v>270</v>
      </c>
      <c r="C30" s="274" t="s">
        <v>63</v>
      </c>
      <c r="D30" s="454">
        <v>0.3</v>
      </c>
      <c r="E30" s="132"/>
      <c r="F30" s="142" t="s">
        <v>299</v>
      </c>
      <c r="G30" s="142"/>
      <c r="H30" s="443">
        <f>((+H25+H28)*100/H25)-100</f>
        <v>140.20697147184623</v>
      </c>
      <c r="I30" s="132"/>
      <c r="J30" s="132"/>
      <c r="K30" s="141"/>
      <c r="L30" s="141"/>
      <c r="M30" s="141"/>
      <c r="N30" s="132"/>
      <c r="O30" s="132"/>
      <c r="P30" s="132"/>
    </row>
    <row r="31" spans="1:16" ht="16.5" thickBot="1" x14ac:dyDescent="0.3">
      <c r="A31" s="132"/>
      <c r="B31" s="458" t="s">
        <v>9</v>
      </c>
      <c r="C31" s="274" t="s">
        <v>63</v>
      </c>
      <c r="D31" s="454"/>
      <c r="E31" s="132"/>
      <c r="F31" s="132"/>
      <c r="G31" s="132"/>
      <c r="H31" s="132"/>
      <c r="I31" s="132"/>
      <c r="J31" s="132"/>
      <c r="K31" s="141"/>
      <c r="L31" s="141"/>
      <c r="M31" s="141"/>
      <c r="N31" s="132"/>
      <c r="O31" s="132"/>
      <c r="P31" s="132"/>
    </row>
    <row r="32" spans="1:16" ht="15.75" x14ac:dyDescent="0.25">
      <c r="A32" s="132"/>
      <c r="B32" s="458" t="s">
        <v>390</v>
      </c>
      <c r="C32" s="274" t="s">
        <v>63</v>
      </c>
      <c r="D32" s="454">
        <v>2</v>
      </c>
      <c r="E32" s="132"/>
      <c r="F32" s="257" t="s">
        <v>320</v>
      </c>
      <c r="G32" s="258"/>
      <c r="H32" s="258"/>
      <c r="I32" s="143"/>
      <c r="J32" s="132"/>
      <c r="K32" s="141"/>
      <c r="L32" s="141"/>
      <c r="M32" s="141"/>
      <c r="N32" s="132"/>
      <c r="O32" s="132"/>
      <c r="P32" s="132"/>
    </row>
    <row r="33" spans="1:16" ht="15.75" x14ac:dyDescent="0.25">
      <c r="A33" s="132"/>
      <c r="B33" s="453" t="s">
        <v>503</v>
      </c>
      <c r="C33" s="274" t="s">
        <v>68</v>
      </c>
      <c r="D33" s="454">
        <v>15</v>
      </c>
      <c r="E33" s="132"/>
      <c r="F33" s="144" t="s">
        <v>321</v>
      </c>
      <c r="G33" s="145" t="s">
        <v>322</v>
      </c>
      <c r="H33" s="145" t="s">
        <v>323</v>
      </c>
      <c r="I33" s="146" t="s">
        <v>147</v>
      </c>
      <c r="J33" s="132"/>
      <c r="K33" s="141"/>
      <c r="L33" s="141"/>
      <c r="M33" s="141"/>
      <c r="N33" s="132"/>
      <c r="O33" s="132"/>
      <c r="P33" s="132"/>
    </row>
    <row r="34" spans="1:16" ht="15.75" x14ac:dyDescent="0.25">
      <c r="A34" s="132"/>
      <c r="B34" s="458" t="s">
        <v>394</v>
      </c>
      <c r="C34" s="274" t="s">
        <v>63</v>
      </c>
      <c r="D34" s="454"/>
      <c r="E34" s="132"/>
      <c r="F34" s="147" t="s">
        <v>20</v>
      </c>
      <c r="G34" s="438">
        <v>300</v>
      </c>
      <c r="H34" s="438">
        <v>60</v>
      </c>
      <c r="I34" s="439">
        <v>90</v>
      </c>
      <c r="J34" s="132"/>
      <c r="K34" s="132"/>
      <c r="L34" s="132"/>
      <c r="M34" s="132"/>
      <c r="N34" s="132"/>
      <c r="O34" s="132"/>
      <c r="P34" s="132"/>
    </row>
    <row r="35" spans="1:16" ht="15.75" x14ac:dyDescent="0.25">
      <c r="A35" s="132"/>
      <c r="B35" s="457" t="s">
        <v>383</v>
      </c>
      <c r="C35" s="274" t="s">
        <v>63</v>
      </c>
      <c r="D35" s="459">
        <f>IF(D89="",D88,D90)</f>
        <v>1.5</v>
      </c>
      <c r="E35" s="132"/>
      <c r="F35" s="147" t="s">
        <v>11</v>
      </c>
      <c r="G35" s="438">
        <v>400</v>
      </c>
      <c r="H35" s="438">
        <v>10</v>
      </c>
      <c r="I35" s="439">
        <v>90</v>
      </c>
      <c r="J35" s="132"/>
      <c r="K35" s="132"/>
      <c r="L35" s="132"/>
      <c r="M35" s="132"/>
      <c r="N35" s="132"/>
      <c r="O35" s="132"/>
      <c r="P35" s="132"/>
    </row>
    <row r="36" spans="1:16" ht="15.75" x14ac:dyDescent="0.25">
      <c r="A36" s="132"/>
      <c r="B36" s="453" t="s">
        <v>7</v>
      </c>
      <c r="C36" s="274" t="s">
        <v>3</v>
      </c>
      <c r="D36" s="460"/>
      <c r="E36" s="132"/>
      <c r="F36" s="147" t="s">
        <v>26</v>
      </c>
      <c r="G36" s="438">
        <v>260</v>
      </c>
      <c r="H36" s="438">
        <v>1</v>
      </c>
      <c r="I36" s="439">
        <v>100</v>
      </c>
      <c r="J36" s="132"/>
      <c r="K36" s="132"/>
      <c r="L36" s="132"/>
      <c r="M36" s="132"/>
      <c r="N36" s="132"/>
      <c r="O36" s="132"/>
      <c r="P36" s="132"/>
    </row>
    <row r="37" spans="1:16" ht="15.75" x14ac:dyDescent="0.25">
      <c r="A37" s="132"/>
      <c r="B37" s="453" t="s">
        <v>324</v>
      </c>
      <c r="C37" s="274" t="s">
        <v>63</v>
      </c>
      <c r="D37" s="454">
        <v>0.5</v>
      </c>
      <c r="E37" s="132"/>
      <c r="F37" s="147" t="s">
        <v>27</v>
      </c>
      <c r="G37" s="438">
        <v>165</v>
      </c>
      <c r="H37" s="438">
        <v>1</v>
      </c>
      <c r="I37" s="439">
        <v>100</v>
      </c>
      <c r="J37" s="132"/>
      <c r="K37" s="132"/>
      <c r="L37" s="132"/>
      <c r="M37" s="132"/>
      <c r="N37" s="132"/>
      <c r="O37" s="132"/>
      <c r="P37" s="132"/>
    </row>
    <row r="38" spans="1:16" ht="15.75" x14ac:dyDescent="0.25">
      <c r="A38" s="132"/>
      <c r="B38" s="322" t="s">
        <v>490</v>
      </c>
      <c r="C38" s="298" t="s">
        <v>3</v>
      </c>
      <c r="D38" s="460">
        <v>5</v>
      </c>
      <c r="E38" s="132"/>
      <c r="F38" s="147" t="s">
        <v>28</v>
      </c>
      <c r="G38" s="438">
        <v>300</v>
      </c>
      <c r="H38" s="438">
        <v>1</v>
      </c>
      <c r="I38" s="439">
        <v>100</v>
      </c>
      <c r="J38" s="132"/>
      <c r="K38" s="132"/>
      <c r="L38" s="132"/>
      <c r="M38" s="132"/>
      <c r="N38" s="132"/>
      <c r="O38" s="132"/>
      <c r="P38" s="132"/>
    </row>
    <row r="39" spans="1:16" ht="15.75" x14ac:dyDescent="0.25">
      <c r="A39" s="132"/>
      <c r="B39" s="322" t="s">
        <v>491</v>
      </c>
      <c r="C39" s="298" t="s">
        <v>3</v>
      </c>
      <c r="D39" s="460">
        <v>5</v>
      </c>
      <c r="E39" s="132"/>
      <c r="F39" s="147" t="s">
        <v>328</v>
      </c>
      <c r="G39" s="438">
        <v>250</v>
      </c>
      <c r="H39" s="438">
        <v>27</v>
      </c>
      <c r="I39" s="439">
        <v>84</v>
      </c>
      <c r="J39" s="132"/>
      <c r="K39" s="132"/>
      <c r="L39" s="132"/>
      <c r="M39" s="132"/>
      <c r="N39" s="132"/>
      <c r="O39" s="132"/>
      <c r="P39" s="132"/>
    </row>
    <row r="40" spans="1:16" ht="15.75" x14ac:dyDescent="0.25">
      <c r="A40" s="132"/>
      <c r="B40" s="461" t="s">
        <v>74</v>
      </c>
      <c r="C40" s="300"/>
      <c r="D40" s="462"/>
      <c r="E40" s="132"/>
      <c r="F40" s="147"/>
      <c r="G40" s="438"/>
      <c r="H40" s="438"/>
      <c r="I40" s="439"/>
      <c r="J40" s="132"/>
      <c r="K40" s="132"/>
      <c r="L40" s="132"/>
      <c r="M40" s="132"/>
      <c r="N40" s="132"/>
      <c r="O40" s="132"/>
      <c r="P40" s="132"/>
    </row>
    <row r="41" spans="1:16" ht="16.5" thickBot="1" x14ac:dyDescent="0.3">
      <c r="A41" s="132"/>
      <c r="B41" s="453" t="s">
        <v>325</v>
      </c>
      <c r="C41" s="274" t="s">
        <v>103</v>
      </c>
      <c r="D41" s="463">
        <v>5</v>
      </c>
      <c r="E41" s="150"/>
      <c r="F41" s="307"/>
      <c r="G41" s="440"/>
      <c r="H41" s="440"/>
      <c r="I41" s="441"/>
      <c r="J41" s="150"/>
      <c r="K41" s="132"/>
      <c r="L41" s="132"/>
      <c r="M41" s="132"/>
      <c r="N41" s="132"/>
      <c r="O41" s="132"/>
      <c r="P41" s="132"/>
    </row>
    <row r="42" spans="1:16" ht="18.75" thickBot="1" x14ac:dyDescent="0.3">
      <c r="A42" s="132"/>
      <c r="B42" s="453" t="s">
        <v>326</v>
      </c>
      <c r="C42" s="274" t="s">
        <v>48</v>
      </c>
      <c r="D42" s="464">
        <f>G42</f>
        <v>294.75</v>
      </c>
      <c r="E42" s="150"/>
      <c r="F42" s="308" t="s">
        <v>330</v>
      </c>
      <c r="G42" s="444">
        <f>C72</f>
        <v>294.75</v>
      </c>
      <c r="H42" s="445">
        <f>SUM(H34:H41)</f>
        <v>100</v>
      </c>
      <c r="I42" s="446">
        <f>D72</f>
        <v>88.68</v>
      </c>
      <c r="J42" s="150"/>
      <c r="K42" s="132"/>
      <c r="L42" s="132"/>
      <c r="M42" s="132"/>
      <c r="N42" s="132"/>
      <c r="O42" s="132"/>
      <c r="P42" s="132"/>
    </row>
    <row r="43" spans="1:16" ht="16.5" thickBot="1" x14ac:dyDescent="0.3">
      <c r="A43" s="132"/>
      <c r="B43" s="453" t="s">
        <v>505</v>
      </c>
      <c r="C43" s="298" t="s">
        <v>3</v>
      </c>
      <c r="D43" s="465">
        <v>5</v>
      </c>
      <c r="E43" s="150"/>
      <c r="F43" s="132"/>
      <c r="G43" s="132"/>
      <c r="H43" s="132"/>
      <c r="I43" s="132"/>
      <c r="J43" s="132"/>
      <c r="K43" s="149"/>
      <c r="L43" s="149"/>
      <c r="M43" s="150"/>
      <c r="N43" s="150"/>
      <c r="O43" s="150"/>
      <c r="P43" s="132"/>
    </row>
    <row r="44" spans="1:16" ht="16.5" thickBot="1" x14ac:dyDescent="0.3">
      <c r="A44" s="132"/>
      <c r="B44" s="466" t="s">
        <v>327</v>
      </c>
      <c r="C44" s="274" t="s">
        <v>48</v>
      </c>
      <c r="D44" s="463">
        <v>10</v>
      </c>
      <c r="E44" s="150"/>
      <c r="F44" s="853" t="s">
        <v>317</v>
      </c>
      <c r="G44" s="854"/>
      <c r="H44" s="854"/>
      <c r="I44" s="854"/>
      <c r="J44" s="854"/>
      <c r="K44" s="854"/>
      <c r="L44" s="854"/>
      <c r="M44" s="855"/>
      <c r="N44" s="132"/>
      <c r="O44" s="132"/>
      <c r="P44" s="132"/>
    </row>
    <row r="45" spans="1:16" ht="16.5" thickBot="1" x14ac:dyDescent="0.3">
      <c r="A45" s="132"/>
      <c r="B45" s="467" t="s">
        <v>329</v>
      </c>
      <c r="C45" s="468" t="s">
        <v>162</v>
      </c>
      <c r="D45" s="469">
        <f>I42</f>
        <v>88.68</v>
      </c>
      <c r="E45" s="150"/>
      <c r="F45" s="856" t="s">
        <v>319</v>
      </c>
      <c r="G45" s="857"/>
      <c r="H45" s="857"/>
      <c r="I45" s="857"/>
      <c r="J45" s="857"/>
      <c r="K45" s="857"/>
      <c r="L45" s="857"/>
      <c r="M45" s="858"/>
      <c r="N45" s="132"/>
      <c r="O45" s="132"/>
      <c r="P45" s="132"/>
    </row>
    <row r="46" spans="1:16" ht="18.75" customHeight="1" thickBot="1" x14ac:dyDescent="0.25">
      <c r="A46" s="132"/>
      <c r="B46" s="132"/>
      <c r="C46" s="132"/>
      <c r="D46" s="132"/>
      <c r="E46" s="132"/>
      <c r="F46" s="859"/>
      <c r="G46" s="860"/>
      <c r="H46" s="860"/>
      <c r="I46" s="860"/>
      <c r="J46" s="860"/>
      <c r="K46" s="860"/>
      <c r="L46" s="860"/>
      <c r="M46" s="861"/>
      <c r="N46" s="132"/>
      <c r="O46" s="132"/>
      <c r="P46" s="132"/>
    </row>
    <row r="47" spans="1:16" ht="18.75" customHeight="1" x14ac:dyDescent="0.2">
      <c r="A47" s="132"/>
      <c r="B47" s="132"/>
      <c r="C47" s="132"/>
      <c r="D47" s="132"/>
      <c r="E47" s="132"/>
      <c r="F47" s="132"/>
      <c r="G47" s="132"/>
      <c r="H47" s="132"/>
      <c r="I47" s="132"/>
      <c r="J47" s="132"/>
      <c r="K47" s="132"/>
      <c r="L47" s="132"/>
      <c r="M47" s="132"/>
      <c r="N47" s="132"/>
      <c r="O47" s="132"/>
      <c r="P47" s="132"/>
    </row>
    <row r="48" spans="1:16" x14ac:dyDescent="0.2">
      <c r="A48" s="150"/>
      <c r="B48" s="150"/>
      <c r="C48" s="150"/>
      <c r="D48" s="150"/>
      <c r="E48" s="154"/>
      <c r="F48" s="132"/>
      <c r="G48" s="132"/>
      <c r="H48" s="132"/>
      <c r="I48" s="132"/>
      <c r="J48" s="132"/>
      <c r="K48" s="132"/>
      <c r="L48" s="132"/>
      <c r="M48" s="132"/>
      <c r="N48" s="132"/>
      <c r="O48" s="132"/>
      <c r="P48" s="132"/>
    </row>
    <row r="49" spans="1:16" x14ac:dyDescent="0.2">
      <c r="A49" s="132"/>
      <c r="B49" s="150"/>
      <c r="C49" s="150"/>
      <c r="D49" s="150"/>
      <c r="E49" s="154"/>
      <c r="F49" s="132"/>
      <c r="G49" s="132"/>
      <c r="H49" s="132"/>
      <c r="I49" s="132"/>
      <c r="J49" s="132"/>
      <c r="K49" s="132"/>
      <c r="L49" s="132"/>
      <c r="M49" s="132"/>
      <c r="N49" s="132"/>
      <c r="O49" s="132"/>
      <c r="P49" s="132"/>
    </row>
    <row r="50" spans="1:16" x14ac:dyDescent="0.2">
      <c r="A50" s="132"/>
      <c r="B50" s="150"/>
      <c r="C50" s="150"/>
      <c r="D50" s="150"/>
      <c r="E50" s="154"/>
      <c r="F50" s="132"/>
      <c r="G50" s="132"/>
      <c r="H50" s="132"/>
      <c r="I50" s="132"/>
      <c r="J50" s="132"/>
      <c r="K50" s="132"/>
      <c r="L50" s="132"/>
      <c r="M50" s="132"/>
      <c r="N50" s="132"/>
      <c r="O50" s="132"/>
      <c r="P50" s="132"/>
    </row>
    <row r="51" spans="1:16" x14ac:dyDescent="0.2">
      <c r="A51" s="132"/>
      <c r="B51" s="150"/>
      <c r="C51" s="150"/>
      <c r="D51" s="150"/>
      <c r="E51" s="154"/>
      <c r="F51" s="132"/>
      <c r="G51" s="132"/>
      <c r="H51" s="132"/>
      <c r="I51" s="132"/>
      <c r="J51" s="132"/>
      <c r="K51" s="132"/>
      <c r="L51" s="132"/>
      <c r="M51" s="132"/>
      <c r="N51" s="132"/>
      <c r="O51" s="132"/>
      <c r="P51" s="132"/>
    </row>
    <row r="52" spans="1:16" x14ac:dyDescent="0.2">
      <c r="A52" s="132"/>
      <c r="B52" s="150"/>
      <c r="C52" s="150"/>
      <c r="D52" s="150"/>
      <c r="E52" s="154"/>
      <c r="F52" s="132"/>
      <c r="G52" s="132"/>
      <c r="H52" s="132"/>
      <c r="I52" s="132"/>
      <c r="J52" s="132"/>
      <c r="K52" s="132"/>
      <c r="L52" s="132"/>
      <c r="M52" s="132"/>
      <c r="N52" s="132"/>
      <c r="O52" s="132"/>
      <c r="P52" s="132"/>
    </row>
    <row r="53" spans="1:16" x14ac:dyDescent="0.2">
      <c r="A53" s="132"/>
      <c r="B53" s="150"/>
      <c r="C53" s="150"/>
      <c r="D53" s="150"/>
      <c r="E53" s="154"/>
      <c r="F53" s="132"/>
      <c r="G53" s="132"/>
      <c r="H53" s="132"/>
      <c r="I53" s="132"/>
      <c r="J53" s="132"/>
      <c r="K53" s="132"/>
      <c r="L53" s="132"/>
      <c r="M53" s="132"/>
      <c r="N53" s="132"/>
      <c r="O53" s="132"/>
      <c r="P53" s="132"/>
    </row>
    <row r="54" spans="1:16" x14ac:dyDescent="0.2">
      <c r="A54" s="132"/>
      <c r="B54" s="150"/>
      <c r="C54" s="150"/>
      <c r="D54" s="150"/>
      <c r="E54" s="149"/>
      <c r="F54" s="154"/>
      <c r="G54" s="154"/>
      <c r="H54" s="154"/>
      <c r="I54" s="150"/>
      <c r="J54" s="150"/>
      <c r="K54" s="150"/>
      <c r="L54" s="150"/>
      <c r="M54" s="150"/>
      <c r="N54" s="132"/>
      <c r="O54" s="132"/>
      <c r="P54" s="132"/>
    </row>
    <row r="55" spans="1:16" ht="15" x14ac:dyDescent="0.2">
      <c r="A55" s="132"/>
      <c r="B55" s="259"/>
      <c r="C55" s="259"/>
      <c r="D55" s="259"/>
      <c r="E55" s="132"/>
      <c r="F55" s="132"/>
      <c r="G55" s="132"/>
      <c r="H55" s="132"/>
      <c r="I55" s="132"/>
      <c r="J55" s="132"/>
      <c r="K55" s="132"/>
      <c r="L55" s="132"/>
      <c r="M55" s="132"/>
      <c r="N55" s="132"/>
      <c r="O55" s="132"/>
      <c r="P55" s="132"/>
    </row>
    <row r="56" spans="1:16" ht="15" x14ac:dyDescent="0.2">
      <c r="A56" s="132"/>
      <c r="B56" s="259"/>
      <c r="C56" s="259"/>
      <c r="D56" s="259"/>
      <c r="E56" s="132"/>
      <c r="F56" s="132"/>
      <c r="G56" s="132"/>
      <c r="H56" s="132"/>
      <c r="I56" s="132"/>
      <c r="J56" s="132"/>
      <c r="K56" s="132"/>
      <c r="L56" s="132"/>
      <c r="M56" s="132"/>
      <c r="N56" s="132"/>
      <c r="O56" s="132"/>
      <c r="P56" s="132"/>
    </row>
    <row r="57" spans="1:16" ht="15" hidden="1" x14ac:dyDescent="0.2">
      <c r="A57" s="132"/>
      <c r="B57" s="259"/>
      <c r="C57" s="259"/>
      <c r="D57" s="259"/>
      <c r="E57" s="259"/>
      <c r="F57" s="259"/>
      <c r="G57" s="259"/>
      <c r="H57" s="259"/>
      <c r="I57" s="259"/>
      <c r="J57" s="259"/>
      <c r="K57" s="259"/>
      <c r="L57" s="259"/>
      <c r="M57" s="259"/>
      <c r="N57" s="132"/>
      <c r="O57" s="132"/>
      <c r="P57" s="132"/>
    </row>
    <row r="58" spans="1:16" ht="15" hidden="1" x14ac:dyDescent="0.2">
      <c r="E58" s="332"/>
      <c r="F58" s="332"/>
      <c r="G58" s="332"/>
      <c r="H58" s="332"/>
      <c r="I58" s="332"/>
      <c r="J58" s="332"/>
      <c r="K58" s="332"/>
      <c r="L58" s="332"/>
      <c r="M58" s="332"/>
    </row>
    <row r="59" spans="1:16" ht="15" hidden="1" x14ac:dyDescent="0.2">
      <c r="E59" s="332"/>
      <c r="F59" s="332"/>
      <c r="G59" s="332"/>
      <c r="H59" s="332"/>
      <c r="I59" s="332"/>
      <c r="J59" s="332"/>
      <c r="K59" s="332"/>
      <c r="L59" s="332"/>
      <c r="M59" s="332"/>
    </row>
    <row r="60" spans="1:16" ht="15" hidden="1" x14ac:dyDescent="0.2">
      <c r="E60" s="332"/>
      <c r="F60" s="333" t="s">
        <v>331</v>
      </c>
      <c r="G60" s="333"/>
      <c r="H60" s="334">
        <f>H28</f>
        <v>28.173101425707614</v>
      </c>
      <c r="I60" s="332"/>
      <c r="J60" s="332"/>
      <c r="K60" s="332"/>
      <c r="L60" s="332"/>
      <c r="M60" s="332"/>
    </row>
    <row r="61" spans="1:16" ht="15" hidden="1" x14ac:dyDescent="0.2">
      <c r="B61" s="335"/>
      <c r="C61" s="335"/>
      <c r="D61" s="335"/>
      <c r="E61" s="265"/>
      <c r="F61" s="333" t="s">
        <v>332</v>
      </c>
      <c r="G61" s="333"/>
      <c r="H61" s="333"/>
      <c r="I61" s="265"/>
      <c r="J61" s="265"/>
      <c r="K61" s="265"/>
      <c r="L61" s="265"/>
      <c r="M61" s="265"/>
    </row>
    <row r="62" spans="1:16" ht="15" hidden="1" customHeight="1" x14ac:dyDescent="0.2">
      <c r="B62" s="264"/>
      <c r="C62" s="264" t="s">
        <v>421</v>
      </c>
      <c r="D62" s="264"/>
      <c r="E62" s="265"/>
      <c r="F62" s="332"/>
      <c r="G62" s="332"/>
      <c r="H62" s="332"/>
      <c r="I62" s="265"/>
      <c r="J62" s="265"/>
      <c r="K62" s="265"/>
      <c r="L62" s="265"/>
      <c r="M62" s="265"/>
    </row>
    <row r="63" spans="1:16" ht="15" hidden="1" x14ac:dyDescent="0.2">
      <c r="B63" s="264"/>
      <c r="C63" s="264" t="s">
        <v>111</v>
      </c>
      <c r="D63" s="264" t="s">
        <v>422</v>
      </c>
      <c r="E63" s="265"/>
      <c r="F63" s="265" t="s">
        <v>420</v>
      </c>
      <c r="G63" s="265"/>
      <c r="H63" s="265"/>
      <c r="I63" s="335"/>
      <c r="J63" s="335"/>
      <c r="K63" s="335"/>
      <c r="L63" s="335"/>
      <c r="M63" s="335"/>
    </row>
    <row r="64" spans="1:16" ht="15" hidden="1" x14ac:dyDescent="0.2">
      <c r="B64" s="264" t="str">
        <f t="shared" ref="B64:B71" si="0">F34</f>
        <v>Wheat</v>
      </c>
      <c r="C64" s="264">
        <f t="shared" ref="C64:D71" si="1">G34*H34*0.01</f>
        <v>180</v>
      </c>
      <c r="D64" s="264">
        <f t="shared" si="1"/>
        <v>54</v>
      </c>
      <c r="E64" s="264" t="s">
        <v>333</v>
      </c>
      <c r="F64" s="266" t="s">
        <v>345</v>
      </c>
      <c r="G64" s="148" t="s">
        <v>346</v>
      </c>
      <c r="H64" s="148" t="s">
        <v>424</v>
      </c>
      <c r="I64" s="148" t="s">
        <v>425</v>
      </c>
      <c r="J64" s="148" t="s">
        <v>426</v>
      </c>
      <c r="K64" s="148" t="s">
        <v>427</v>
      </c>
      <c r="L64" s="336" t="s">
        <v>428</v>
      </c>
      <c r="M64" s="148" t="s">
        <v>430</v>
      </c>
    </row>
    <row r="65" spans="2:13" ht="15" hidden="1" x14ac:dyDescent="0.2">
      <c r="B65" s="264" t="str">
        <f t="shared" si="0"/>
        <v>Lupins</v>
      </c>
      <c r="C65" s="264">
        <f t="shared" si="1"/>
        <v>40</v>
      </c>
      <c r="D65" s="264">
        <f t="shared" si="1"/>
        <v>9</v>
      </c>
      <c r="E65" s="148" t="s">
        <v>334</v>
      </c>
      <c r="F65" s="267">
        <f>D17</f>
        <v>80</v>
      </c>
      <c r="G65" s="148">
        <f>F65*D6*D7*0.01</f>
        <v>1729.6000000000001</v>
      </c>
      <c r="H65" s="148">
        <f>G65*$D$8</f>
        <v>15566.400000000001</v>
      </c>
      <c r="I65" s="148">
        <f>$D$9*F65</f>
        <v>3200</v>
      </c>
      <c r="J65" s="148">
        <f>I65+H65</f>
        <v>18766.400000000001</v>
      </c>
      <c r="K65" s="148">
        <f>J65/F65</f>
        <v>234.58</v>
      </c>
      <c r="L65" s="337">
        <f>D10</f>
        <v>0</v>
      </c>
      <c r="M65" s="148">
        <f>L65*F65</f>
        <v>0</v>
      </c>
    </row>
    <row r="66" spans="2:13" ht="15" hidden="1" x14ac:dyDescent="0.2">
      <c r="B66" s="264" t="str">
        <f t="shared" si="0"/>
        <v>Bentonite</v>
      </c>
      <c r="C66" s="264">
        <f t="shared" si="1"/>
        <v>2.6</v>
      </c>
      <c r="D66" s="264">
        <f t="shared" si="1"/>
        <v>1</v>
      </c>
      <c r="E66" s="148" t="s">
        <v>335</v>
      </c>
      <c r="F66" s="267">
        <f>D19</f>
        <v>10</v>
      </c>
      <c r="G66" s="148">
        <f>D6*D7*F66*0.01</f>
        <v>216.20000000000002</v>
      </c>
      <c r="H66" s="148">
        <f>(D20-D9)*F66</f>
        <v>600</v>
      </c>
      <c r="I66" s="148">
        <f>$D$9*F66</f>
        <v>400</v>
      </c>
      <c r="J66" s="148">
        <f>I66+H66</f>
        <v>1000</v>
      </c>
      <c r="K66" s="148">
        <f>J66/F66</f>
        <v>100</v>
      </c>
      <c r="L66" s="337">
        <f>D20</f>
        <v>100</v>
      </c>
      <c r="M66" s="148">
        <f>L66*F66</f>
        <v>1000</v>
      </c>
    </row>
    <row r="67" spans="2:13" ht="15" hidden="1" x14ac:dyDescent="0.2">
      <c r="B67" s="264" t="str">
        <f t="shared" si="0"/>
        <v>Lime</v>
      </c>
      <c r="C67" s="264">
        <f t="shared" si="1"/>
        <v>1.6500000000000001</v>
      </c>
      <c r="D67" s="264">
        <f t="shared" si="1"/>
        <v>1</v>
      </c>
      <c r="E67" s="148" t="s">
        <v>336</v>
      </c>
      <c r="F67" s="267">
        <f>D18</f>
        <v>5</v>
      </c>
      <c r="G67" s="148">
        <f>F67*D4*0.45</f>
        <v>78.75</v>
      </c>
      <c r="H67" s="148">
        <f>D8*0.8*G67</f>
        <v>567</v>
      </c>
      <c r="I67" s="148">
        <f>$D$9*F67*0.75</f>
        <v>150</v>
      </c>
      <c r="J67" s="148">
        <f>I67+H67</f>
        <v>717</v>
      </c>
      <c r="K67" s="148">
        <f>J67/F67</f>
        <v>143.4</v>
      </c>
      <c r="L67" s="337">
        <f>D5*1.2</f>
        <v>240</v>
      </c>
      <c r="M67" s="148">
        <f>L67*F67</f>
        <v>1200</v>
      </c>
    </row>
    <row r="68" spans="2:13" ht="15" hidden="1" x14ac:dyDescent="0.2">
      <c r="B68" s="264" t="str">
        <f t="shared" si="0"/>
        <v>Salt</v>
      </c>
      <c r="C68" s="264">
        <f t="shared" si="1"/>
        <v>3</v>
      </c>
      <c r="D68" s="264">
        <f t="shared" si="1"/>
        <v>1</v>
      </c>
      <c r="E68" s="148" t="s">
        <v>347</v>
      </c>
      <c r="F68" s="267">
        <f>SUM(F65:F67)</f>
        <v>95</v>
      </c>
      <c r="G68" s="424">
        <f>SUM(G65:G67)</f>
        <v>2024.5500000000002</v>
      </c>
      <c r="H68" s="148">
        <f>SUM(H65:H67)</f>
        <v>16733.400000000001</v>
      </c>
      <c r="I68" s="148">
        <f>SUM(I65:I67)</f>
        <v>3750</v>
      </c>
      <c r="J68" s="148">
        <f>SUM(J65:J67)</f>
        <v>20483.400000000001</v>
      </c>
      <c r="K68" s="265"/>
      <c r="L68" s="265"/>
      <c r="M68" s="148">
        <f>SUM(M65:M67)</f>
        <v>2200</v>
      </c>
    </row>
    <row r="69" spans="2:13" ht="15" hidden="1" x14ac:dyDescent="0.2">
      <c r="B69" s="264" t="str">
        <f t="shared" si="0"/>
        <v>Hay</v>
      </c>
      <c r="C69" s="264">
        <f t="shared" si="1"/>
        <v>67.5</v>
      </c>
      <c r="D69" s="264">
        <f t="shared" si="1"/>
        <v>22.68</v>
      </c>
      <c r="E69" s="148" t="s">
        <v>423</v>
      </c>
      <c r="F69" s="267">
        <f>D16</f>
        <v>5</v>
      </c>
      <c r="G69" s="148"/>
      <c r="H69" s="148"/>
      <c r="I69" s="148"/>
      <c r="J69" s="265"/>
      <c r="K69" s="265"/>
      <c r="L69" s="265"/>
      <c r="M69" s="148"/>
    </row>
    <row r="70" spans="2:13" ht="15" hidden="1" x14ac:dyDescent="0.2">
      <c r="B70" s="264">
        <f t="shared" si="0"/>
        <v>0</v>
      </c>
      <c r="C70" s="264">
        <f t="shared" si="1"/>
        <v>0</v>
      </c>
      <c r="D70" s="264">
        <f t="shared" si="1"/>
        <v>0</v>
      </c>
      <c r="E70" s="148" t="s">
        <v>347</v>
      </c>
      <c r="F70" s="267">
        <f>SUM(F68:F69)</f>
        <v>100</v>
      </c>
      <c r="G70" s="148"/>
      <c r="H70" s="148"/>
      <c r="I70" s="148"/>
      <c r="J70" s="148">
        <f>J68/F70</f>
        <v>204.834</v>
      </c>
      <c r="K70" s="265"/>
      <c r="L70" s="265"/>
      <c r="M70" s="148">
        <f>M68/F70</f>
        <v>22</v>
      </c>
    </row>
    <row r="71" spans="2:13" ht="15" hidden="1" x14ac:dyDescent="0.2">
      <c r="B71" s="264">
        <f t="shared" si="0"/>
        <v>0</v>
      </c>
      <c r="C71" s="264">
        <f t="shared" si="1"/>
        <v>0</v>
      </c>
      <c r="D71" s="264">
        <f t="shared" si="1"/>
        <v>0</v>
      </c>
      <c r="E71" s="148"/>
      <c r="F71" s="148" t="s">
        <v>501</v>
      </c>
      <c r="G71" s="148"/>
      <c r="H71" s="148"/>
      <c r="I71" s="335"/>
      <c r="J71" s="335"/>
      <c r="K71" s="335"/>
      <c r="L71" s="335"/>
      <c r="M71" s="335"/>
    </row>
    <row r="72" spans="2:13" ht="15" hidden="1" x14ac:dyDescent="0.2">
      <c r="B72" s="264" t="s">
        <v>92</v>
      </c>
      <c r="C72" s="264">
        <f>SUM(C64:C71)</f>
        <v>294.75</v>
      </c>
      <c r="D72" s="264">
        <f>SUM(D64:D71)</f>
        <v>88.68</v>
      </c>
      <c r="E72" s="148"/>
      <c r="F72" s="271">
        <f>(F70-F69)*0.01</f>
        <v>0.95000000000000007</v>
      </c>
      <c r="G72" s="148"/>
      <c r="H72" s="148"/>
      <c r="I72" s="335"/>
      <c r="J72" s="335"/>
      <c r="K72" s="335"/>
      <c r="L72" s="335"/>
      <c r="M72" s="335"/>
    </row>
    <row r="73" spans="2:13" ht="15" hidden="1" x14ac:dyDescent="0.2">
      <c r="B73" s="264"/>
      <c r="C73" s="264"/>
      <c r="D73" s="264"/>
      <c r="E73" s="265"/>
    </row>
    <row r="74" spans="2:13" ht="15" hidden="1" x14ac:dyDescent="0.2">
      <c r="B74" s="265"/>
      <c r="C74" s="265"/>
      <c r="D74" s="265"/>
      <c r="E74" s="265"/>
      <c r="F74" s="265"/>
      <c r="G74" s="265"/>
      <c r="H74" s="265"/>
      <c r="I74" s="265"/>
      <c r="J74" s="265"/>
      <c r="K74" s="265"/>
      <c r="L74" s="265"/>
      <c r="M74" s="265"/>
    </row>
    <row r="75" spans="2:13" ht="15" hidden="1" x14ac:dyDescent="0.2">
      <c r="B75" s="332"/>
      <c r="C75" s="332"/>
      <c r="D75" s="332"/>
      <c r="E75" s="332"/>
      <c r="F75" s="332"/>
      <c r="G75" s="332"/>
      <c r="H75" s="332"/>
      <c r="I75" s="332"/>
      <c r="J75" s="332"/>
      <c r="K75" s="332"/>
      <c r="L75" s="332"/>
      <c r="M75" s="332"/>
    </row>
    <row r="76" spans="2:13" ht="15.75" hidden="1" x14ac:dyDescent="0.25">
      <c r="B76" s="338" t="s">
        <v>500</v>
      </c>
      <c r="C76" s="332"/>
      <c r="D76" s="332"/>
      <c r="E76" s="332"/>
      <c r="F76" s="332"/>
      <c r="G76" s="332"/>
      <c r="H76" s="332"/>
      <c r="I76" s="332"/>
      <c r="J76" s="332"/>
      <c r="K76" s="332"/>
      <c r="L76" s="332"/>
      <c r="M76" s="332"/>
    </row>
    <row r="77" spans="2:13" ht="15.75" hidden="1" x14ac:dyDescent="0.25">
      <c r="B77" s="260" t="s">
        <v>61</v>
      </c>
      <c r="C77" s="260" t="s">
        <v>63</v>
      </c>
      <c r="D77" s="261">
        <f t="shared" ref="D77:D83" si="2">D24</f>
        <v>3</v>
      </c>
      <c r="E77" s="332"/>
      <c r="F77" s="339" t="s">
        <v>485</v>
      </c>
      <c r="G77" s="333"/>
      <c r="H77" s="332"/>
      <c r="I77" s="332"/>
      <c r="J77" s="332"/>
      <c r="K77" s="332"/>
      <c r="L77" s="332"/>
      <c r="M77" s="332"/>
    </row>
    <row r="78" spans="2:13" ht="15" hidden="1" x14ac:dyDescent="0.2">
      <c r="B78" s="260" t="s">
        <v>62</v>
      </c>
      <c r="C78" s="260" t="s">
        <v>63</v>
      </c>
      <c r="D78" s="261">
        <f t="shared" si="2"/>
        <v>0</v>
      </c>
      <c r="E78" s="332"/>
      <c r="F78" s="333" t="s">
        <v>486</v>
      </c>
      <c r="G78" s="334">
        <f>D5</f>
        <v>200</v>
      </c>
      <c r="H78" s="332"/>
      <c r="I78" s="332"/>
      <c r="J78" s="332"/>
      <c r="K78" s="332"/>
      <c r="L78" s="332"/>
      <c r="M78" s="332"/>
    </row>
    <row r="79" spans="2:13" ht="15" hidden="1" x14ac:dyDescent="0.2">
      <c r="B79" s="260" t="s">
        <v>64</v>
      </c>
      <c r="C79" s="260" t="s">
        <v>63</v>
      </c>
      <c r="D79" s="261">
        <f t="shared" si="2"/>
        <v>0.25</v>
      </c>
      <c r="E79" s="332"/>
      <c r="F79" s="333" t="s">
        <v>487</v>
      </c>
      <c r="G79" s="333">
        <f>G78*D36*0.01</f>
        <v>0</v>
      </c>
      <c r="H79" s="332"/>
      <c r="I79" s="332"/>
      <c r="J79" s="332"/>
      <c r="K79" s="332"/>
      <c r="L79" s="333">
        <v>1</v>
      </c>
      <c r="M79" s="333" t="s">
        <v>486</v>
      </c>
    </row>
    <row r="80" spans="2:13" ht="15" hidden="1" x14ac:dyDescent="0.2">
      <c r="B80" s="260" t="s">
        <v>281</v>
      </c>
      <c r="C80" s="260" t="s">
        <v>63</v>
      </c>
      <c r="D80" s="261">
        <f t="shared" si="2"/>
        <v>0.25</v>
      </c>
      <c r="E80" s="332"/>
      <c r="F80" s="333" t="s">
        <v>488</v>
      </c>
      <c r="G80" s="334">
        <f>D31</f>
        <v>0</v>
      </c>
      <c r="H80" s="332"/>
      <c r="I80" s="332"/>
      <c r="J80" s="332"/>
      <c r="K80" s="332"/>
      <c r="L80" s="333">
        <v>2</v>
      </c>
      <c r="M80" s="333" t="s">
        <v>495</v>
      </c>
    </row>
    <row r="81" spans="1:13" ht="15.75" hidden="1" x14ac:dyDescent="0.25">
      <c r="B81" s="260" t="s">
        <v>65</v>
      </c>
      <c r="C81" s="260" t="s">
        <v>63</v>
      </c>
      <c r="D81" s="261">
        <f t="shared" si="2"/>
        <v>0</v>
      </c>
      <c r="E81" s="332"/>
      <c r="F81" s="339" t="s">
        <v>117</v>
      </c>
      <c r="G81" s="340">
        <f>SUM(G78:G80)</f>
        <v>200</v>
      </c>
      <c r="H81" s="332"/>
      <c r="I81" s="332"/>
      <c r="J81" s="332"/>
      <c r="K81" s="332"/>
      <c r="L81" s="332"/>
      <c r="M81" s="332"/>
    </row>
    <row r="82" spans="1:13" ht="15" hidden="1" x14ac:dyDescent="0.2">
      <c r="B82" s="260" t="s">
        <v>269</v>
      </c>
      <c r="C82" s="260" t="s">
        <v>63</v>
      </c>
      <c r="D82" s="261">
        <f t="shared" si="2"/>
        <v>0.25</v>
      </c>
      <c r="E82" s="332"/>
      <c r="F82" s="332"/>
      <c r="G82" s="332"/>
      <c r="H82" s="332"/>
      <c r="I82" s="332"/>
      <c r="J82" s="332"/>
      <c r="K82" s="332"/>
      <c r="L82" s="332"/>
      <c r="M82" s="332"/>
    </row>
    <row r="83" spans="1:13" ht="15" hidden="1" x14ac:dyDescent="0.2">
      <c r="B83" s="260" t="s">
        <v>270</v>
      </c>
      <c r="C83" s="260" t="s">
        <v>63</v>
      </c>
      <c r="D83" s="261">
        <f t="shared" si="2"/>
        <v>0.3</v>
      </c>
      <c r="E83" s="332"/>
      <c r="F83" s="332"/>
      <c r="G83" s="332"/>
      <c r="H83" s="332"/>
      <c r="I83" s="332"/>
      <c r="J83" s="332"/>
      <c r="K83" s="332"/>
      <c r="L83" s="332"/>
      <c r="M83" s="332"/>
    </row>
    <row r="84" spans="1:13" ht="15.75" hidden="1" x14ac:dyDescent="0.25">
      <c r="B84" s="260" t="s">
        <v>480</v>
      </c>
      <c r="C84" s="260" t="s">
        <v>68</v>
      </c>
      <c r="D84" s="261">
        <f>D33*D15/180</f>
        <v>0.83333333333333337</v>
      </c>
      <c r="E84" s="332"/>
      <c r="F84" s="338" t="s">
        <v>489</v>
      </c>
      <c r="G84" s="332"/>
      <c r="H84" s="332"/>
      <c r="I84" s="332"/>
      <c r="J84" s="332"/>
      <c r="K84" s="332"/>
      <c r="L84" s="332"/>
      <c r="M84" s="332"/>
    </row>
    <row r="85" spans="1:13" ht="15.75" hidden="1" x14ac:dyDescent="0.25">
      <c r="B85" s="260"/>
      <c r="C85" s="262" t="s">
        <v>117</v>
      </c>
      <c r="D85" s="263">
        <f>SUM(D77:D84)</f>
        <v>4.8833333333333329</v>
      </c>
      <c r="E85" s="332"/>
      <c r="F85" s="333" t="s">
        <v>492</v>
      </c>
      <c r="G85" s="334">
        <f>(H18-H17)*D38*0.01</f>
        <v>10.241700000000002</v>
      </c>
      <c r="H85" s="332"/>
      <c r="I85" s="332"/>
      <c r="J85" s="332"/>
      <c r="K85" s="332"/>
      <c r="L85" s="332"/>
      <c r="M85" s="332"/>
    </row>
    <row r="86" spans="1:13" ht="15" hidden="1" x14ac:dyDescent="0.2">
      <c r="B86" s="332"/>
      <c r="C86" s="332"/>
      <c r="D86" s="332"/>
      <c r="E86" s="332"/>
      <c r="F86" s="333" t="s">
        <v>493</v>
      </c>
      <c r="G86" s="333">
        <f>H17*0.01*D39</f>
        <v>3.5000000000000004</v>
      </c>
      <c r="H86" s="332"/>
      <c r="I86" s="332"/>
      <c r="J86" s="332"/>
      <c r="K86" s="332"/>
      <c r="L86" s="332"/>
      <c r="M86" s="332"/>
    </row>
    <row r="87" spans="1:13" ht="15" hidden="1" x14ac:dyDescent="0.2">
      <c r="B87" s="333" t="s">
        <v>496</v>
      </c>
      <c r="C87" s="333" t="s">
        <v>497</v>
      </c>
      <c r="D87" s="334">
        <f>IF(D3="LAMB",(H18-H17)*0.02,"")</f>
        <v>4.0966800000000001</v>
      </c>
      <c r="E87" s="332"/>
      <c r="F87" s="333" t="s">
        <v>66</v>
      </c>
      <c r="G87" s="334">
        <f>D32*F72</f>
        <v>1.9000000000000001</v>
      </c>
      <c r="H87" s="332"/>
      <c r="I87" s="332"/>
      <c r="J87" s="332"/>
      <c r="K87" s="332"/>
      <c r="L87" s="332"/>
      <c r="M87" s="332"/>
    </row>
    <row r="88" spans="1:13" ht="15" hidden="1" x14ac:dyDescent="0.2">
      <c r="B88" s="333"/>
      <c r="C88" s="333"/>
      <c r="D88" s="334">
        <f>IF(D87&gt;1.5,1.5,D87)</f>
        <v>1.5</v>
      </c>
      <c r="E88" s="332"/>
      <c r="F88" s="333" t="s">
        <v>479</v>
      </c>
      <c r="G88" s="334">
        <f>D34*F72</f>
        <v>0</v>
      </c>
      <c r="H88" s="332"/>
      <c r="I88" s="332"/>
      <c r="J88" s="332"/>
      <c r="K88" s="332"/>
      <c r="L88" s="332"/>
      <c r="M88" s="332"/>
    </row>
    <row r="89" spans="1:13" ht="15" hidden="1" x14ac:dyDescent="0.2">
      <c r="B89" s="333"/>
      <c r="C89" s="333" t="s">
        <v>498</v>
      </c>
      <c r="D89" s="334" t="str">
        <f>IF(D3="ADULT",(H18-H17)*0.02,"")</f>
        <v/>
      </c>
      <c r="E89" s="332"/>
      <c r="F89" s="333" t="s">
        <v>383</v>
      </c>
      <c r="G89" s="334">
        <f>D35*F72</f>
        <v>1.425</v>
      </c>
      <c r="H89" s="332"/>
      <c r="I89" s="332"/>
      <c r="J89" s="332"/>
      <c r="K89" s="332"/>
      <c r="L89" s="332"/>
      <c r="M89" s="332"/>
    </row>
    <row r="90" spans="1:13" ht="15" hidden="1" x14ac:dyDescent="0.2">
      <c r="B90" s="333"/>
      <c r="C90" s="333"/>
      <c r="D90" s="333">
        <f>IF(D89&gt;0.2,0.2,D89)</f>
        <v>0.2</v>
      </c>
      <c r="E90" s="332"/>
      <c r="F90" s="333" t="s">
        <v>499</v>
      </c>
      <c r="G90" s="334">
        <f>(G78+G79)*0.01*D21*H8/365</f>
        <v>2.1526418786692756</v>
      </c>
      <c r="H90" s="332"/>
      <c r="I90" s="332"/>
      <c r="J90" s="332"/>
      <c r="K90" s="332"/>
      <c r="L90" s="332"/>
      <c r="M90" s="332"/>
    </row>
    <row r="91" spans="1:13" ht="15.75" hidden="1" x14ac:dyDescent="0.25">
      <c r="B91" s="332"/>
      <c r="C91" s="332"/>
      <c r="D91" s="332"/>
      <c r="E91" s="332"/>
      <c r="F91" s="339" t="s">
        <v>92</v>
      </c>
      <c r="G91" s="340">
        <f>SUM(G85:G90)</f>
        <v>19.219341878669276</v>
      </c>
      <c r="H91" s="332"/>
      <c r="I91" s="332"/>
      <c r="J91" s="332"/>
      <c r="K91" s="332" t="s">
        <v>419</v>
      </c>
      <c r="L91" s="332"/>
      <c r="M91" s="332"/>
    </row>
    <row r="92" spans="1:13" ht="15" x14ac:dyDescent="0.2">
      <c r="B92" s="332"/>
      <c r="C92" s="332"/>
      <c r="D92" s="332"/>
      <c r="E92" s="332"/>
      <c r="F92" s="332"/>
      <c r="G92" s="332"/>
      <c r="H92" s="332"/>
      <c r="I92" s="332"/>
      <c r="J92" s="332"/>
      <c r="K92" s="332"/>
      <c r="L92" s="332"/>
      <c r="M92" s="332"/>
    </row>
    <row r="93" spans="1:13" ht="15" x14ac:dyDescent="0.2">
      <c r="B93" s="332"/>
      <c r="C93" s="332"/>
      <c r="D93" s="332"/>
      <c r="E93" s="332"/>
      <c r="F93" s="332"/>
      <c r="G93" s="332"/>
      <c r="H93" s="332"/>
      <c r="I93" s="332"/>
      <c r="J93" s="332"/>
      <c r="K93" s="332"/>
      <c r="L93" s="332"/>
      <c r="M93" s="332"/>
    </row>
    <row r="95" spans="1:13" ht="26.25" x14ac:dyDescent="0.4">
      <c r="A95" s="881" t="s">
        <v>524</v>
      </c>
      <c r="B95" s="881"/>
      <c r="C95" s="881"/>
      <c r="D95" s="881"/>
      <c r="E95" s="881"/>
      <c r="F95" s="881"/>
      <c r="G95" s="309"/>
      <c r="H95" s="309"/>
    </row>
    <row r="96" spans="1:13" ht="20.100000000000001" customHeight="1" thickBot="1" x14ac:dyDescent="0.3">
      <c r="B96" s="310" t="s">
        <v>300</v>
      </c>
      <c r="C96" s="309"/>
      <c r="D96" s="309"/>
    </row>
    <row r="97" spans="2:12" ht="20.100000000000001" customHeight="1" thickBot="1" x14ac:dyDescent="0.3">
      <c r="B97" s="312" t="s">
        <v>494</v>
      </c>
      <c r="C97" s="315"/>
      <c r="D97" s="341"/>
      <c r="G97" s="327" t="s">
        <v>315</v>
      </c>
      <c r="H97" s="327"/>
      <c r="I97" s="327"/>
      <c r="J97" s="342"/>
      <c r="K97" s="342"/>
    </row>
    <row r="98" spans="2:12" ht="20.100000000000001" customHeight="1" x14ac:dyDescent="0.25">
      <c r="B98" s="343" t="s">
        <v>433</v>
      </c>
      <c r="C98" s="311" t="s">
        <v>434</v>
      </c>
      <c r="D98" s="344"/>
      <c r="G98" s="864" t="s">
        <v>61</v>
      </c>
      <c r="H98" s="865"/>
      <c r="I98" s="865"/>
      <c r="J98" s="865"/>
      <c r="K98" s="329" t="s">
        <v>63</v>
      </c>
      <c r="L98" s="345"/>
    </row>
    <row r="99" spans="2:12" ht="20.100000000000001" customHeight="1" x14ac:dyDescent="0.25">
      <c r="B99" s="316" t="s">
        <v>502</v>
      </c>
      <c r="C99" s="311" t="s">
        <v>58</v>
      </c>
      <c r="D99" s="346"/>
      <c r="G99" s="862" t="s">
        <v>6</v>
      </c>
      <c r="H99" s="863"/>
      <c r="I99" s="863"/>
      <c r="J99" s="863"/>
      <c r="K99" s="311" t="s">
        <v>63</v>
      </c>
      <c r="L99" s="347"/>
    </row>
    <row r="100" spans="2:12" ht="20.100000000000001" customHeight="1" x14ac:dyDescent="0.25">
      <c r="B100" s="343" t="s">
        <v>437</v>
      </c>
      <c r="C100" s="311" t="s">
        <v>438</v>
      </c>
      <c r="D100" s="348"/>
      <c r="G100" s="862" t="s">
        <v>64</v>
      </c>
      <c r="H100" s="863"/>
      <c r="I100" s="863"/>
      <c r="J100" s="863"/>
      <c r="K100" s="311" t="s">
        <v>63</v>
      </c>
      <c r="L100" s="347"/>
    </row>
    <row r="101" spans="2:12" ht="20.100000000000001" customHeight="1" x14ac:dyDescent="0.25">
      <c r="B101" s="343" t="s">
        <v>275</v>
      </c>
      <c r="C101" s="311" t="s">
        <v>83</v>
      </c>
      <c r="D101" s="318"/>
      <c r="G101" s="862" t="s">
        <v>555</v>
      </c>
      <c r="H101" s="863"/>
      <c r="I101" s="863"/>
      <c r="J101" s="863"/>
      <c r="K101" s="311" t="s">
        <v>63</v>
      </c>
      <c r="L101" s="347"/>
    </row>
    <row r="102" spans="2:12" ht="20.100000000000001" customHeight="1" x14ac:dyDescent="0.25">
      <c r="B102" s="317" t="s">
        <v>274</v>
      </c>
      <c r="C102" s="311" t="s">
        <v>439</v>
      </c>
      <c r="D102" s="323"/>
      <c r="G102" s="862" t="s">
        <v>557</v>
      </c>
      <c r="H102" s="863"/>
      <c r="I102" s="863"/>
      <c r="J102" s="863"/>
      <c r="K102" s="311" t="s">
        <v>63</v>
      </c>
      <c r="L102" s="347"/>
    </row>
    <row r="103" spans="2:12" ht="20.100000000000001" customHeight="1" x14ac:dyDescent="0.25">
      <c r="B103" s="317" t="s">
        <v>46</v>
      </c>
      <c r="C103" s="311" t="s">
        <v>435</v>
      </c>
      <c r="D103" s="346"/>
      <c r="G103" s="862" t="s">
        <v>269</v>
      </c>
      <c r="H103" s="863"/>
      <c r="I103" s="863"/>
      <c r="J103" s="863"/>
      <c r="K103" s="311" t="s">
        <v>63</v>
      </c>
      <c r="L103" s="347"/>
    </row>
    <row r="104" spans="2:12" ht="20.100000000000001" customHeight="1" x14ac:dyDescent="0.25">
      <c r="B104" s="316" t="s">
        <v>522</v>
      </c>
      <c r="C104" s="311" t="s">
        <v>58</v>
      </c>
      <c r="D104" s="346"/>
      <c r="G104" s="862" t="s">
        <v>270</v>
      </c>
      <c r="H104" s="863"/>
      <c r="I104" s="863"/>
      <c r="J104" s="863"/>
      <c r="K104" s="311" t="s">
        <v>63</v>
      </c>
      <c r="L104" s="347"/>
    </row>
    <row r="105" spans="2:12" ht="20.100000000000001" customHeight="1" x14ac:dyDescent="0.25">
      <c r="B105" s="343" t="s">
        <v>268</v>
      </c>
      <c r="C105" s="311" t="s">
        <v>59</v>
      </c>
      <c r="D105" s="349"/>
      <c r="G105" s="862" t="s">
        <v>9</v>
      </c>
      <c r="H105" s="863"/>
      <c r="I105" s="863"/>
      <c r="J105" s="863"/>
      <c r="K105" s="311" t="s">
        <v>63</v>
      </c>
      <c r="L105" s="347"/>
    </row>
    <row r="106" spans="2:12" ht="20.100000000000001" customHeight="1" x14ac:dyDescent="0.25">
      <c r="B106" s="316" t="s">
        <v>523</v>
      </c>
      <c r="C106" s="311" t="s">
        <v>441</v>
      </c>
      <c r="D106" s="350"/>
      <c r="G106" s="862" t="s">
        <v>390</v>
      </c>
      <c r="H106" s="863"/>
      <c r="I106" s="863"/>
      <c r="J106" s="863"/>
      <c r="K106" s="311" t="s">
        <v>63</v>
      </c>
      <c r="L106" s="347"/>
    </row>
    <row r="107" spans="2:12" ht="20.100000000000001" customHeight="1" x14ac:dyDescent="0.25">
      <c r="B107" s="317" t="s">
        <v>387</v>
      </c>
      <c r="C107" s="311" t="s">
        <v>442</v>
      </c>
      <c r="D107" s="351"/>
      <c r="G107" s="862" t="s">
        <v>503</v>
      </c>
      <c r="H107" s="863"/>
      <c r="I107" s="863"/>
      <c r="J107" s="863"/>
      <c r="K107" s="311" t="s">
        <v>68</v>
      </c>
      <c r="L107" s="347"/>
    </row>
    <row r="108" spans="2:12" ht="20.100000000000001" customHeight="1" x14ac:dyDescent="0.25">
      <c r="B108" s="317" t="s">
        <v>483</v>
      </c>
      <c r="C108" s="311" t="s">
        <v>73</v>
      </c>
      <c r="D108" s="323"/>
      <c r="G108" s="862" t="s">
        <v>394</v>
      </c>
      <c r="H108" s="863"/>
      <c r="I108" s="863"/>
      <c r="J108" s="863"/>
      <c r="K108" s="311" t="s">
        <v>63</v>
      </c>
      <c r="L108" s="347"/>
    </row>
    <row r="109" spans="2:12" ht="20.100000000000001" customHeight="1" x14ac:dyDescent="0.25">
      <c r="B109" s="317" t="s">
        <v>481</v>
      </c>
      <c r="C109" s="311" t="s">
        <v>482</v>
      </c>
      <c r="D109" s="323"/>
      <c r="G109" s="862" t="s">
        <v>383</v>
      </c>
      <c r="H109" s="863"/>
      <c r="I109" s="863"/>
      <c r="J109" s="863"/>
      <c r="K109" s="311" t="s">
        <v>63</v>
      </c>
      <c r="L109" s="347"/>
    </row>
    <row r="110" spans="2:12" ht="20.100000000000001" customHeight="1" x14ac:dyDescent="0.25">
      <c r="B110" s="317" t="s">
        <v>86</v>
      </c>
      <c r="C110" s="311" t="s">
        <v>83</v>
      </c>
      <c r="D110" s="318"/>
      <c r="G110" s="862" t="s">
        <v>7</v>
      </c>
      <c r="H110" s="863"/>
      <c r="I110" s="863"/>
      <c r="J110" s="863"/>
      <c r="K110" s="311" t="s">
        <v>63</v>
      </c>
      <c r="L110" s="347"/>
    </row>
    <row r="111" spans="2:12" ht="20.100000000000001" customHeight="1" x14ac:dyDescent="0.25">
      <c r="B111" s="317" t="s">
        <v>85</v>
      </c>
      <c r="C111" s="311" t="s">
        <v>83</v>
      </c>
      <c r="D111" s="318"/>
      <c r="G111" s="862" t="s">
        <v>324</v>
      </c>
      <c r="H111" s="863"/>
      <c r="I111" s="863"/>
      <c r="J111" s="863"/>
      <c r="K111" s="311" t="s">
        <v>63</v>
      </c>
      <c r="L111" s="347"/>
    </row>
    <row r="112" spans="2:12" ht="20.100000000000001" customHeight="1" x14ac:dyDescent="0.25">
      <c r="B112" s="317" t="s">
        <v>87</v>
      </c>
      <c r="C112" s="311" t="s">
        <v>83</v>
      </c>
      <c r="D112" s="318"/>
      <c r="G112" s="862" t="s">
        <v>490</v>
      </c>
      <c r="H112" s="863"/>
      <c r="I112" s="863"/>
      <c r="J112" s="863"/>
      <c r="K112" s="298" t="s">
        <v>3</v>
      </c>
      <c r="L112" s="347"/>
    </row>
    <row r="113" spans="2:12" ht="20.100000000000001" customHeight="1" thickBot="1" x14ac:dyDescent="0.3">
      <c r="B113" s="317" t="s">
        <v>88</v>
      </c>
      <c r="C113" s="311" t="s">
        <v>83</v>
      </c>
      <c r="D113" s="318"/>
      <c r="G113" s="866" t="s">
        <v>491</v>
      </c>
      <c r="H113" s="867"/>
      <c r="I113" s="867"/>
      <c r="J113" s="867"/>
      <c r="K113" s="325" t="s">
        <v>3</v>
      </c>
      <c r="L113" s="352"/>
    </row>
    <row r="114" spans="2:12" ht="20.100000000000001" customHeight="1" x14ac:dyDescent="0.25">
      <c r="B114" s="317" t="s">
        <v>429</v>
      </c>
      <c r="C114" s="311" t="s">
        <v>84</v>
      </c>
      <c r="D114" s="350"/>
    </row>
    <row r="115" spans="2:12" ht="20.100000000000001" customHeight="1" thickBot="1" x14ac:dyDescent="0.3">
      <c r="B115" s="319" t="s">
        <v>145</v>
      </c>
      <c r="C115" s="320" t="s">
        <v>83</v>
      </c>
      <c r="D115" s="353"/>
    </row>
    <row r="116" spans="2:12" ht="20.100000000000001" customHeight="1" thickBot="1" x14ac:dyDescent="0.3">
      <c r="B116" s="321"/>
      <c r="C116" s="321"/>
      <c r="D116" s="309"/>
      <c r="G116" s="327" t="s">
        <v>74</v>
      </c>
      <c r="H116" s="342"/>
      <c r="I116" s="342"/>
      <c r="J116" s="342"/>
      <c r="K116" s="342"/>
      <c r="L116" s="342"/>
    </row>
    <row r="117" spans="2:12" ht="20.100000000000001" customHeight="1" thickBot="1" x14ac:dyDescent="0.3">
      <c r="B117" s="310" t="s">
        <v>526</v>
      </c>
      <c r="G117" s="864" t="s">
        <v>325</v>
      </c>
      <c r="H117" s="865"/>
      <c r="I117" s="865"/>
      <c r="J117" s="865"/>
      <c r="K117" s="329" t="s">
        <v>103</v>
      </c>
      <c r="L117" s="345"/>
    </row>
    <row r="118" spans="2:12" ht="20.100000000000001" customHeight="1" x14ac:dyDescent="0.25">
      <c r="B118" s="871" t="s">
        <v>320</v>
      </c>
      <c r="C118" s="872"/>
      <c r="D118" s="872"/>
      <c r="E118" s="873"/>
      <c r="G118" s="862" t="s">
        <v>505</v>
      </c>
      <c r="H118" s="863"/>
      <c r="I118" s="863"/>
      <c r="J118" s="863"/>
      <c r="K118" s="298" t="s">
        <v>3</v>
      </c>
      <c r="L118" s="347"/>
    </row>
    <row r="119" spans="2:12" ht="20.100000000000001" customHeight="1" thickBot="1" x14ac:dyDescent="0.3">
      <c r="B119" s="313" t="s">
        <v>321</v>
      </c>
      <c r="C119" s="314" t="s">
        <v>527</v>
      </c>
      <c r="D119" s="314" t="s">
        <v>323</v>
      </c>
      <c r="E119" s="326" t="s">
        <v>147</v>
      </c>
      <c r="G119" s="866" t="s">
        <v>327</v>
      </c>
      <c r="H119" s="867"/>
      <c r="I119" s="867"/>
      <c r="J119" s="867"/>
      <c r="K119" s="320" t="s">
        <v>48</v>
      </c>
      <c r="L119" s="352"/>
    </row>
    <row r="120" spans="2:12" ht="20.100000000000001" customHeight="1" x14ac:dyDescent="0.2">
      <c r="B120" s="322"/>
      <c r="C120" s="270"/>
      <c r="D120" s="270"/>
      <c r="E120" s="354"/>
    </row>
    <row r="121" spans="2:12" ht="20.100000000000001" customHeight="1" thickBot="1" x14ac:dyDescent="0.3">
      <c r="B121" s="322"/>
      <c r="C121" s="270"/>
      <c r="D121" s="270"/>
      <c r="E121" s="354"/>
      <c r="G121" s="330" t="s">
        <v>317</v>
      </c>
      <c r="H121" s="328"/>
      <c r="I121" s="328"/>
      <c r="J121" s="328"/>
    </row>
    <row r="122" spans="2:12" ht="20.100000000000001" customHeight="1" x14ac:dyDescent="0.2">
      <c r="B122" s="322"/>
      <c r="C122" s="270"/>
      <c r="D122" s="270"/>
      <c r="E122" s="354"/>
      <c r="G122" s="355"/>
      <c r="H122" s="356"/>
      <c r="I122" s="356"/>
      <c r="J122" s="356"/>
      <c r="K122" s="357"/>
      <c r="L122" s="143"/>
    </row>
    <row r="123" spans="2:12" ht="20.100000000000001" customHeight="1" x14ac:dyDescent="0.2">
      <c r="B123" s="322"/>
      <c r="C123" s="270"/>
      <c r="D123" s="270"/>
      <c r="E123" s="354"/>
      <c r="G123" s="358"/>
      <c r="H123" s="328"/>
      <c r="I123" s="328"/>
      <c r="J123" s="328"/>
      <c r="K123" s="342"/>
      <c r="L123" s="359"/>
    </row>
    <row r="124" spans="2:12" ht="20.100000000000001" customHeight="1" x14ac:dyDescent="0.2">
      <c r="B124" s="322"/>
      <c r="C124" s="270"/>
      <c r="D124" s="270"/>
      <c r="E124" s="354"/>
      <c r="G124" s="358"/>
      <c r="H124" s="328"/>
      <c r="I124" s="328"/>
      <c r="J124" s="328"/>
      <c r="K124" s="342"/>
      <c r="L124" s="359"/>
    </row>
    <row r="125" spans="2:12" ht="20.100000000000001" customHeight="1" x14ac:dyDescent="0.2">
      <c r="B125" s="322"/>
      <c r="C125" s="270"/>
      <c r="D125" s="270"/>
      <c r="E125" s="354"/>
      <c r="G125" s="360"/>
      <c r="H125" s="342"/>
      <c r="I125" s="342"/>
      <c r="J125" s="342"/>
      <c r="K125" s="342"/>
      <c r="L125" s="359"/>
    </row>
    <row r="126" spans="2:12" ht="20.100000000000001" customHeight="1" x14ac:dyDescent="0.2">
      <c r="B126" s="322"/>
      <c r="C126" s="270"/>
      <c r="D126" s="270"/>
      <c r="E126" s="354"/>
      <c r="G126" s="360"/>
      <c r="H126" s="342"/>
      <c r="I126" s="342"/>
      <c r="J126" s="342"/>
      <c r="K126" s="342"/>
      <c r="L126" s="359"/>
    </row>
    <row r="127" spans="2:12" ht="20.100000000000001" customHeight="1" thickBot="1" x14ac:dyDescent="0.25">
      <c r="B127" s="324"/>
      <c r="C127" s="361"/>
      <c r="D127" s="361"/>
      <c r="E127" s="362"/>
      <c r="G127" s="360"/>
      <c r="H127" s="342"/>
      <c r="I127" s="342"/>
      <c r="J127" s="342"/>
      <c r="K127" s="342"/>
      <c r="L127" s="359"/>
    </row>
    <row r="128" spans="2:12" ht="20.100000000000001" customHeight="1" thickBot="1" x14ac:dyDescent="0.3">
      <c r="B128" s="868" t="s">
        <v>525</v>
      </c>
      <c r="C128" s="869"/>
      <c r="D128" s="869"/>
      <c r="E128" s="870"/>
      <c r="G128" s="363"/>
      <c r="H128" s="364"/>
      <c r="I128" s="364"/>
      <c r="J128" s="364"/>
      <c r="K128" s="364"/>
      <c r="L128" s="365"/>
    </row>
    <row r="129" spans="1:8" ht="20.100000000000001" customHeight="1" x14ac:dyDescent="0.2"/>
    <row r="130" spans="1:8" ht="20.100000000000001" customHeight="1" x14ac:dyDescent="0.2"/>
    <row r="131" spans="1:8" ht="20.100000000000001" customHeight="1" x14ac:dyDescent="0.2"/>
    <row r="132" spans="1:8" ht="20.100000000000001" customHeight="1" x14ac:dyDescent="0.2"/>
    <row r="133" spans="1:8" ht="20.100000000000001" customHeight="1" x14ac:dyDescent="0.2"/>
    <row r="134" spans="1:8" ht="20.100000000000001" customHeight="1" x14ac:dyDescent="0.2"/>
    <row r="135" spans="1:8" ht="20.100000000000001" customHeight="1" x14ac:dyDescent="0.2"/>
    <row r="136" spans="1:8" ht="20.100000000000001" customHeight="1" x14ac:dyDescent="0.2"/>
    <row r="137" spans="1:8" ht="20.100000000000001" customHeight="1" x14ac:dyDescent="0.2">
      <c r="E137" s="309"/>
      <c r="G137" s="309"/>
      <c r="H137" s="309"/>
    </row>
    <row r="138" spans="1:8" ht="20.100000000000001" customHeight="1" x14ac:dyDescent="0.2">
      <c r="G138" s="309"/>
      <c r="H138" s="309"/>
    </row>
    <row r="139" spans="1:8" ht="20.100000000000001" customHeight="1" x14ac:dyDescent="0.2"/>
    <row r="140" spans="1:8" ht="20.100000000000001" customHeight="1" x14ac:dyDescent="0.2">
      <c r="A140" s="309"/>
      <c r="E140" s="309"/>
      <c r="F140" s="309"/>
    </row>
    <row r="141" spans="1:8" x14ac:dyDescent="0.2">
      <c r="A141" s="309"/>
      <c r="B141" s="309"/>
      <c r="C141" s="309"/>
      <c r="D141" s="309"/>
      <c r="E141" s="309"/>
      <c r="F141" s="309"/>
    </row>
    <row r="142" spans="1:8" x14ac:dyDescent="0.2">
      <c r="B142" s="309"/>
      <c r="C142" s="309"/>
      <c r="D142" s="309"/>
    </row>
    <row r="155" ht="12.75" customHeight="1" x14ac:dyDescent="0.2"/>
    <row r="156" ht="12.75" customHeight="1" x14ac:dyDescent="0.2"/>
    <row r="157" ht="12.75" customHeight="1" x14ac:dyDescent="0.2"/>
  </sheetData>
  <sheetProtection password="BEC1" sheet="1" selectLockedCells="1"/>
  <mergeCells count="30">
    <mergeCell ref="A95:F95"/>
    <mergeCell ref="G110:J110"/>
    <mergeCell ref="G111:J111"/>
    <mergeCell ref="G112:J112"/>
    <mergeCell ref="G113:J113"/>
    <mergeCell ref="G117:J117"/>
    <mergeCell ref="G100:J100"/>
    <mergeCell ref="G101:J101"/>
    <mergeCell ref="G102:J102"/>
    <mergeCell ref="G103:J103"/>
    <mergeCell ref="G118:J118"/>
    <mergeCell ref="G119:J119"/>
    <mergeCell ref="B128:E128"/>
    <mergeCell ref="B118:E118"/>
    <mergeCell ref="B1:G1"/>
    <mergeCell ref="F2:H2"/>
    <mergeCell ref="F3:H3"/>
    <mergeCell ref="F13:H13"/>
    <mergeCell ref="F20:H20"/>
    <mergeCell ref="B22:D22"/>
    <mergeCell ref="F44:M44"/>
    <mergeCell ref="F45:M46"/>
    <mergeCell ref="G106:J106"/>
    <mergeCell ref="G107:J107"/>
    <mergeCell ref="G108:J108"/>
    <mergeCell ref="G109:J109"/>
    <mergeCell ref="G104:J104"/>
    <mergeCell ref="G105:J105"/>
    <mergeCell ref="G98:J98"/>
    <mergeCell ref="G99:J99"/>
  </mergeCells>
  <phoneticPr fontId="87" type="noConversion"/>
  <conditionalFormatting sqref="H42">
    <cfRule type="cellIs" dxfId="1" priority="1" stopIfTrue="1" operator="notEqual">
      <formula>100</formula>
    </cfRule>
  </conditionalFormatting>
  <dataValidations count="43">
    <dataValidation type="whole" allowBlank="1" showInputMessage="1" showErrorMessage="1" error="0 to $50/tonne as fed" sqref="I119 D44">
      <formula1>0</formula1>
      <formula2>50</formula2>
    </dataValidation>
    <dataValidation type="decimal" allowBlank="1" showInputMessage="1" showErrorMessage="1" error="up to $50% allowed" sqref="I118 D43">
      <formula1>0</formula1>
      <formula2>50</formula2>
    </dataValidation>
    <dataValidation type="whole" allowBlank="1" showInputMessage="1" showErrorMessage="1" error="0 to 50 cents/lamb/day" sqref="I117 D41">
      <formula1>0</formula1>
      <formula2>50</formula2>
    </dataValidation>
    <dataValidation type="decimal" allowBlank="1" showInputMessage="1" showErrorMessage="1" error="crutching cost $1 to $6" sqref="D25">
      <formula1>1</formula1>
      <formula2>6</formula2>
    </dataValidation>
    <dataValidation type="decimal" allowBlank="1" showInputMessage="1" showErrorMessage="1" error="commission from 0 to 10.0%" sqref="D38 D36">
      <formula1>0</formula1>
      <formula2>10</formula2>
    </dataValidation>
    <dataValidation type="decimal" allowBlank="1" showInputMessage="1" showErrorMessage="1" error="Shearing cost to $10 " sqref="D24">
      <formula1>0</formula1>
      <formula2>10</formula2>
    </dataValidation>
    <dataValidation type="decimal" allowBlank="1" showInputMessage="1" showErrorMessage="1" error="Drench cost to $1.00/hd" sqref="D26">
      <formula1>0</formula1>
      <formula2>1</formula2>
    </dataValidation>
    <dataValidation type="decimal" allowBlank="1" showInputMessage="1" showErrorMessage="1" error="Fly cost to $3.00" sqref="D27">
      <formula1>0</formula1>
      <formula2>3</formula2>
    </dataValidation>
    <dataValidation type="decimal" allowBlank="1" showInputMessage="1" showErrorMessage="1" error="to $2 allowed" sqref="D29:D30">
      <formula1>0</formula1>
      <formula2>2</formula2>
    </dataValidation>
    <dataValidation type="decimal" allowBlank="1" showInputMessage="1" showErrorMessage="1" error="up to $20 allowed" sqref="D32">
      <formula1>0</formula1>
      <formula2>20</formula2>
    </dataValidation>
    <dataValidation type="decimal" allowBlank="1" showInputMessage="1" showErrorMessage="1" error="up to $70/bale allowed" sqref="D33">
      <formula1>0</formula1>
      <formula2>70</formula2>
    </dataValidation>
    <dataValidation type="decimal" allowBlank="1" showInputMessage="1" showErrorMessage="1" error="up t $25 allowed" sqref="D34">
      <formula1>0</formula1>
      <formula2>25</formula2>
    </dataValidation>
    <dataValidation type="decimal" allowBlank="1" showInputMessage="1" showErrorMessage="1" error="up to $5 per head allowed" sqref="D37">
      <formula1>0</formula1>
      <formula2>5</formula2>
    </dataValidation>
    <dataValidation type="decimal" allowBlank="1" showInputMessage="1" showErrorMessage="1" error="commission to 10.0% is allowed " sqref="D39">
      <formula1>0</formula1>
      <formula2>10</formula2>
    </dataValidation>
    <dataValidation type="decimal" allowBlank="1" showInputMessage="1" showErrorMessage="1" sqref="D120:D127 H34:H41">
      <formula1>0</formula1>
      <formula2>100</formula2>
    </dataValidation>
    <dataValidation type="whole" allowBlank="1" showInputMessage="1" showErrorMessage="1" error="between 20% and 100% allowed" sqref="E120:E127 I34:I41">
      <formula1>20</formula1>
      <formula2>100</formula2>
    </dataValidation>
    <dataValidation type="decimal" allowBlank="1" showInputMessage="1" showErrorMessage="1" error="between 0 and 15% annual interest allowed" sqref="D115 D21">
      <formula1>0</formula1>
      <formula2>15</formula2>
    </dataValidation>
    <dataValidation type="decimal" allowBlank="1" showInputMessage="1" showErrorMessage="1" error="deaths between 0 and 20 allowed" sqref="D110 D16">
      <formula1>0</formula1>
      <formula2>20</formula2>
    </dataValidation>
    <dataValidation type="whole" allowBlank="1" showInputMessage="1" showErrorMessage="1" error="between 50 to 150% of 1st draft price allowed" sqref="D114">
      <formula1>50</formula1>
      <formula2>150</formula2>
    </dataValidation>
    <dataValidation type="decimal" allowBlank="1" showInputMessage="1" showErrorMessage="1" error="30 to 100% allowed" sqref="D111 D17">
      <formula1>30</formula1>
      <formula2>100</formula2>
    </dataValidation>
    <dataValidation type="decimal" allowBlank="1" showInputMessage="1" showErrorMessage="1" error="between 0 and 20% allowed" sqref="D112 D18">
      <formula1>2</formula1>
      <formula2>20</formula2>
    </dataValidation>
    <dataValidation type="whole" allowBlank="1" showInputMessage="1" showErrorMessage="1" error="Dressing % 35 to 55 is allowed" sqref="D101 D7">
      <formula1>35</formula1>
      <formula2>55</formula2>
    </dataValidation>
    <dataValidation type="decimal" allowBlank="1" showInputMessage="1" showErrorMessage="1" error="between0 and $5.00 kg allowed" sqref="D109">
      <formula1>0</formula1>
      <formula2>12</formula2>
    </dataValidation>
    <dataValidation type="decimal" allowBlank="1" showInputMessage="1" showErrorMessage="1" error="between0 and $5.00 kg allowed" sqref="D108">
      <formula1>0</formula1>
      <formula2>20</formula2>
    </dataValidation>
    <dataValidation type="decimal" allowBlank="1" showInputMessage="1" showErrorMessage="1" error="0 to 150 allowed " sqref="D104">
      <formula1>0</formula1>
      <formula2>150</formula2>
    </dataValidation>
    <dataValidation type="decimal" allowBlank="1" showInputMessage="1" showErrorMessage="1" error="0 to 100 allowed " sqref="D99">
      <formula1>0</formula1>
      <formula2>120</formula2>
    </dataValidation>
    <dataValidation type="whole" allowBlank="1" showInputMessage="1" showErrorMessage="1" error="0 to 300 days range allowed" sqref="D106 D12">
      <formula1>0</formula1>
      <formula2>300</formula2>
    </dataValidation>
    <dataValidation type="decimal" allowBlank="1" showInputMessage="1" showErrorMessage="1" error="intake 1.0 to 5.0 of LWT/day allowed" sqref="D107 D13">
      <formula1>1</formula1>
      <formula2>5</formula2>
    </dataValidation>
    <dataValidation type="decimal" allowBlank="1" showErrorMessage="1" error="out of range 15 to 50 allowed" sqref="D98 D100 D6 D4">
      <formula1>15</formula1>
      <formula2>130</formula2>
    </dataValidation>
    <dataValidation type="decimal" allowBlank="1" showInputMessage="1" showErrorMessage="1" error="$0.50 to $7.00 kg Hot Carcass weight allowed" sqref="D102">
      <formula1>0.5</formula1>
      <formula2>7</formula2>
    </dataValidation>
    <dataValidation type="decimal" allowBlank="1" showInputMessage="1" showErrorMessage="1" error="Skin value  to $25.00 allowed" sqref="D103">
      <formula1>0</formula1>
      <formula2>25</formula2>
    </dataValidation>
    <dataValidation type="decimal" allowBlank="1" showInputMessage="1" showErrorMessage="1" error="Growth grate range -150 to 500 g/d_x000a_" sqref="D105 D11">
      <formula1>-150</formula1>
      <formula2>500</formula2>
    </dataValidation>
    <dataValidation type="decimal" allowBlank="1" showInputMessage="1" showErrorMessage="1" error="Shearing cost $1 to $6 " sqref="D77:D83">
      <formula1>1</formula1>
      <formula2>6</formula2>
    </dataValidation>
    <dataValidation type="whole" allowBlank="1" showInputMessage="1" showErrorMessage="1" error="0 to 10" sqref="E41">
      <formula1>0</formula1>
      <formula2>10</formula2>
    </dataValidation>
    <dataValidation type="decimal" allowBlank="1" showInputMessage="1" showErrorMessage="1" error="0 to 250 allowed " sqref="D5">
      <formula1>0</formula1>
      <formula2>250</formula2>
    </dataValidation>
    <dataValidation type="decimal" allowBlank="1" showInputMessage="1" showErrorMessage="1" error="$0.50 to $10.00 kg Hot Carcass weight allowed" sqref="D8">
      <formula1>0.5</formula1>
      <formula2>10</formula2>
    </dataValidation>
    <dataValidation type="decimal" allowBlank="1" showInputMessage="1" showErrorMessage="1" error="Skin value  to $40.00 allowed" sqref="D9">
      <formula1>0</formula1>
      <formula2>40</formula2>
    </dataValidation>
    <dataValidation type="decimal" allowBlank="1" showInputMessage="1" showErrorMessage="1" error="0 to 300 allowed " sqref="D10">
      <formula1>0</formula1>
      <formula2>300</formula2>
    </dataValidation>
    <dataValidation type="whole" allowBlank="1" showInputMessage="1" showErrorMessage="1" error="between $50 to $300 of 1st draft price allowed" sqref="D20">
      <formula1>50</formula1>
      <formula2>300</formula2>
    </dataValidation>
    <dataValidation type="decimal" allowBlank="1" showInputMessage="1" showErrorMessage="1" error="up to $40 allowed" sqref="D31">
      <formula1>0</formula1>
      <formula2>40</formula2>
    </dataValidation>
    <dataValidation type="decimal" allowBlank="1" showInputMessage="1" showErrorMessage="1" error="between 0 and $10.00 kg allowed" sqref="D15">
      <formula1>0</formula1>
      <formula2>10</formula2>
    </dataValidation>
    <dataValidation type="decimal" allowBlank="1" showInputMessage="1" showErrorMessage="1" error="between 0 and $25.00 kg allowed" sqref="D14">
      <formula1>0</formula1>
      <formula2>25</formula2>
    </dataValidation>
    <dataValidation type="decimal" allowBlank="1" showInputMessage="1" showErrorMessage="1" error="0 to $10 allowed" sqref="D28">
      <formula1>0</formula1>
      <formula2>10</formula2>
    </dataValidation>
  </dataValidations>
  <pageMargins left="0.39370078740157477" right="0.39370078740157477" top="0.39370078740157477" bottom="0.39370078740157477" header="0.19685039370078738" footer="0.19685039370078738"/>
  <pageSetup paperSize="9" scale="61" orientation="landscape" blackAndWhite="1" horizontalDpi="4294967293" verticalDpi="1200" r:id="rId1"/>
  <headerFooter alignWithMargins="0"/>
  <drawing r:id="rId2"/>
  <legacyDrawing r:id="rId3"/>
  <controls>
    <mc:AlternateContent xmlns:mc="http://schemas.openxmlformats.org/markup-compatibility/2006">
      <mc:Choice Requires="x14">
        <control shapeId="33915" r:id="rId4" name="SpinButton1">
          <controlPr autoLine="0" linkedCell="C3" r:id="rId5">
            <anchor moveWithCells="1">
              <from>
                <xdr:col>4</xdr:col>
                <xdr:colOff>28575</xdr:colOff>
                <xdr:row>2</xdr:row>
                <xdr:rowOff>28575</xdr:rowOff>
              </from>
              <to>
                <xdr:col>4</xdr:col>
                <xdr:colOff>676275</xdr:colOff>
                <xdr:row>3</xdr:row>
                <xdr:rowOff>47625</xdr:rowOff>
              </to>
            </anchor>
          </controlPr>
        </control>
      </mc:Choice>
      <mc:Fallback>
        <control shapeId="33915" r:id="rId4" name="SpinButton1"/>
      </mc:Fallback>
    </mc:AlternateContent>
    <mc:AlternateContent xmlns:mc="http://schemas.openxmlformats.org/markup-compatibility/2006">
      <mc:Choice Requires="x14">
        <control shapeId="33912" r:id="rId6" name="cmdPrintBasic">
          <controlPr defaultSize="0" autoLine="0" r:id="rId7">
            <anchor moveWithCells="1">
              <from>
                <xdr:col>10</xdr:col>
                <xdr:colOff>485775</xdr:colOff>
                <xdr:row>22</xdr:row>
                <xdr:rowOff>190500</xdr:rowOff>
              </from>
              <to>
                <xdr:col>12</xdr:col>
                <xdr:colOff>1809750</xdr:colOff>
                <xdr:row>25</xdr:row>
                <xdr:rowOff>171450</xdr:rowOff>
              </to>
            </anchor>
          </controlPr>
        </control>
      </mc:Choice>
      <mc:Fallback>
        <control shapeId="33912" r:id="rId6" name="cmdPrintBasic"/>
      </mc:Fallback>
    </mc:AlternateContent>
    <mc:AlternateContent xmlns:mc="http://schemas.openxmlformats.org/markup-compatibility/2006">
      <mc:Choice Requires="x14">
        <control shapeId="33815" r:id="rId8" name="cmdPrintBasicForm">
          <controlPr defaultSize="0" autoLine="0" r:id="rId9">
            <anchor moveWithCells="1">
              <from>
                <xdr:col>10</xdr:col>
                <xdr:colOff>495300</xdr:colOff>
                <xdr:row>29</xdr:row>
                <xdr:rowOff>47625</xdr:rowOff>
              </from>
              <to>
                <xdr:col>12</xdr:col>
                <xdr:colOff>1819275</xdr:colOff>
                <xdr:row>31</xdr:row>
                <xdr:rowOff>190500</xdr:rowOff>
              </to>
            </anchor>
          </controlPr>
        </control>
      </mc:Choice>
      <mc:Fallback>
        <control shapeId="33815" r:id="rId8" name="cmdPrintBasicForm"/>
      </mc:Fallback>
    </mc:AlternateContent>
    <mc:AlternateContent xmlns:mc="http://schemas.openxmlformats.org/markup-compatibility/2006">
      <mc:Choice Requires="x14">
        <control shapeId="33814" r:id="rId10" name="ViewAgnote">
          <controlPr defaultSize="0" autoLine="0" autoPict="0" r:id="rId11">
            <anchor moveWithCells="1">
              <from>
                <xdr:col>9</xdr:col>
                <xdr:colOff>485775</xdr:colOff>
                <xdr:row>16</xdr:row>
                <xdr:rowOff>9525</xdr:rowOff>
              </from>
              <to>
                <xdr:col>12</xdr:col>
                <xdr:colOff>2324100</xdr:colOff>
                <xdr:row>19</xdr:row>
                <xdr:rowOff>123825</xdr:rowOff>
              </to>
            </anchor>
          </controlPr>
        </control>
      </mc:Choice>
      <mc:Fallback>
        <control shapeId="33814" r:id="rId10" name="ViewAgnote"/>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T227"/>
  <sheetViews>
    <sheetView zoomScale="90" workbookViewId="0">
      <selection activeCell="X218" sqref="X218"/>
    </sheetView>
  </sheetViews>
  <sheetFormatPr defaultRowHeight="12.75" x14ac:dyDescent="0.2"/>
  <cols>
    <col min="1" max="1" width="6" customWidth="1"/>
    <col min="17" max="17" width="18.5703125" customWidth="1"/>
    <col min="18" max="18" width="9.140625" hidden="1" customWidth="1"/>
    <col min="19" max="19" width="9.42578125" customWidth="1"/>
    <col min="20" max="20" width="9.85546875" customWidth="1"/>
  </cols>
  <sheetData>
    <row r="1" spans="1:20" x14ac:dyDescent="0.2">
      <c r="A1" s="686"/>
      <c r="B1" s="686"/>
      <c r="C1" s="686"/>
      <c r="D1" s="686"/>
      <c r="E1" s="686"/>
      <c r="F1" s="686"/>
      <c r="G1" s="686"/>
      <c r="H1" s="686"/>
      <c r="I1" s="686"/>
      <c r="J1" s="686"/>
      <c r="K1" s="686"/>
      <c r="L1" s="686"/>
      <c r="M1" s="686"/>
      <c r="N1" s="686"/>
      <c r="O1" s="686"/>
      <c r="P1" s="686"/>
      <c r="Q1" s="686"/>
      <c r="R1" s="686"/>
      <c r="S1" s="686"/>
      <c r="T1" s="686"/>
    </row>
    <row r="2" spans="1:20" x14ac:dyDescent="0.2">
      <c r="A2" s="686"/>
      <c r="B2" s="686"/>
      <c r="C2" s="686"/>
      <c r="D2" s="686"/>
      <c r="E2" s="686"/>
      <c r="F2" s="686"/>
      <c r="G2" s="686"/>
      <c r="H2" s="686"/>
      <c r="I2" s="686"/>
      <c r="J2" s="686"/>
      <c r="K2" s="686"/>
      <c r="L2" s="686"/>
      <c r="M2" s="686"/>
      <c r="N2" s="686"/>
      <c r="O2" s="686"/>
      <c r="P2" s="686"/>
      <c r="Q2" s="686"/>
      <c r="R2" s="686"/>
      <c r="S2" s="686"/>
      <c r="T2" s="687" t="s">
        <v>591</v>
      </c>
    </row>
    <row r="3" spans="1:20" x14ac:dyDescent="0.2">
      <c r="A3" s="686"/>
      <c r="B3" s="686"/>
      <c r="C3" s="686"/>
      <c r="D3" s="686"/>
      <c r="E3" s="686"/>
      <c r="F3" s="686"/>
      <c r="G3" s="686"/>
      <c r="H3" s="686"/>
      <c r="I3" s="686"/>
      <c r="J3" s="686"/>
      <c r="K3" s="686"/>
      <c r="L3" s="686"/>
      <c r="M3" s="686"/>
      <c r="N3" s="686"/>
      <c r="O3" s="686"/>
      <c r="P3" s="686"/>
      <c r="Q3" s="686"/>
      <c r="R3" s="686"/>
      <c r="S3" s="686"/>
      <c r="T3" s="686"/>
    </row>
    <row r="4" spans="1:20" x14ac:dyDescent="0.2">
      <c r="A4" s="686"/>
      <c r="B4" s="686"/>
      <c r="C4" s="686"/>
      <c r="D4" s="686"/>
      <c r="E4" s="686"/>
      <c r="F4" s="686"/>
      <c r="G4" s="686"/>
      <c r="H4" s="686"/>
      <c r="I4" s="686"/>
      <c r="J4" s="686"/>
      <c r="K4" s="686"/>
      <c r="L4" s="686"/>
      <c r="M4" s="686"/>
      <c r="N4" s="686"/>
      <c r="O4" s="686"/>
      <c r="P4" s="686"/>
      <c r="Q4" s="686"/>
      <c r="R4" s="686"/>
      <c r="S4" s="686"/>
      <c r="T4" s="686"/>
    </row>
    <row r="5" spans="1:20" x14ac:dyDescent="0.2">
      <c r="A5" s="686"/>
      <c r="B5" s="686"/>
      <c r="C5" s="686"/>
      <c r="D5" s="686"/>
      <c r="E5" s="686"/>
      <c r="F5" s="686"/>
      <c r="G5" s="686"/>
      <c r="H5" s="686"/>
      <c r="I5" s="686"/>
      <c r="J5" s="686"/>
      <c r="K5" s="686"/>
      <c r="L5" s="686"/>
      <c r="M5" s="686"/>
      <c r="N5" s="686"/>
      <c r="O5" s="686"/>
      <c r="P5" s="686"/>
      <c r="Q5" s="686"/>
      <c r="R5" s="686"/>
      <c r="S5" s="686"/>
      <c r="T5" s="686"/>
    </row>
    <row r="6" spans="1:20" x14ac:dyDescent="0.2">
      <c r="A6" s="686"/>
      <c r="B6" s="686"/>
      <c r="C6" s="686"/>
      <c r="D6" s="686"/>
      <c r="E6" s="686"/>
      <c r="F6" s="686"/>
      <c r="G6" s="686"/>
      <c r="H6" s="686"/>
      <c r="I6" s="686"/>
      <c r="J6" s="686"/>
      <c r="K6" s="686"/>
      <c r="L6" s="686"/>
      <c r="M6" s="686"/>
      <c r="N6" s="686"/>
      <c r="O6" s="686"/>
      <c r="P6" s="686"/>
      <c r="Q6" s="686"/>
      <c r="R6" s="686"/>
      <c r="S6" s="686"/>
      <c r="T6" s="686"/>
    </row>
    <row r="7" spans="1:20" x14ac:dyDescent="0.2">
      <c r="A7" s="686"/>
      <c r="B7" s="686"/>
      <c r="C7" s="686"/>
      <c r="D7" s="686"/>
      <c r="E7" s="686"/>
      <c r="F7" s="686"/>
      <c r="G7" s="686"/>
      <c r="H7" s="686"/>
      <c r="I7" s="686"/>
      <c r="J7" s="686"/>
      <c r="K7" s="686"/>
      <c r="L7" s="686"/>
      <c r="M7" s="686"/>
      <c r="N7" s="686"/>
      <c r="O7" s="686"/>
      <c r="P7" s="686"/>
      <c r="Q7" s="686"/>
      <c r="R7" s="686"/>
      <c r="S7" s="686"/>
      <c r="T7" s="686"/>
    </row>
    <row r="8" spans="1:20" x14ac:dyDescent="0.2">
      <c r="A8" s="686"/>
      <c r="B8" s="686"/>
      <c r="C8" s="686"/>
      <c r="D8" s="686"/>
      <c r="E8" s="686"/>
      <c r="F8" s="686"/>
      <c r="G8" s="686"/>
      <c r="H8" s="686"/>
      <c r="I8" s="686"/>
      <c r="J8" s="686"/>
      <c r="K8" s="686"/>
      <c r="L8" s="686"/>
      <c r="M8" s="686"/>
      <c r="N8" s="686"/>
      <c r="O8" s="686"/>
      <c r="P8" s="686"/>
      <c r="Q8" s="686"/>
      <c r="R8" s="686"/>
      <c r="S8" s="686"/>
      <c r="T8" s="686"/>
    </row>
    <row r="9" spans="1:20" x14ac:dyDescent="0.2">
      <c r="A9" s="686"/>
      <c r="B9" s="686"/>
      <c r="C9" s="686"/>
      <c r="D9" s="686"/>
      <c r="E9" s="686"/>
      <c r="F9" s="686"/>
      <c r="G9" s="686"/>
      <c r="H9" s="686"/>
      <c r="I9" s="686"/>
      <c r="J9" s="686"/>
      <c r="K9" s="686"/>
      <c r="L9" s="686"/>
      <c r="M9" s="686"/>
      <c r="N9" s="686"/>
      <c r="O9" s="686"/>
      <c r="P9" s="686"/>
      <c r="Q9" s="686"/>
      <c r="R9" s="686"/>
      <c r="S9" s="686"/>
      <c r="T9" s="686"/>
    </row>
    <row r="10" spans="1:20" x14ac:dyDescent="0.2">
      <c r="A10" s="686"/>
      <c r="B10" s="686"/>
      <c r="C10" s="686"/>
      <c r="D10" s="686"/>
      <c r="E10" s="686"/>
      <c r="F10" s="686"/>
      <c r="G10" s="686"/>
      <c r="H10" s="686"/>
      <c r="I10" s="686"/>
      <c r="J10" s="686"/>
      <c r="K10" s="686"/>
      <c r="L10" s="686"/>
      <c r="M10" s="686"/>
      <c r="N10" s="686"/>
      <c r="O10" s="686"/>
      <c r="P10" s="686"/>
      <c r="Q10" s="686"/>
      <c r="R10" s="686"/>
      <c r="S10" s="686"/>
      <c r="T10" s="686"/>
    </row>
    <row r="11" spans="1:20" x14ac:dyDescent="0.2">
      <c r="A11" s="686"/>
      <c r="B11" s="686"/>
      <c r="C11" s="686"/>
      <c r="D11" s="686"/>
      <c r="E11" s="686"/>
      <c r="F11" s="686"/>
      <c r="G11" s="686"/>
      <c r="H11" s="686"/>
      <c r="I11" s="686"/>
      <c r="J11" s="686"/>
      <c r="K11" s="686"/>
      <c r="L11" s="686"/>
      <c r="M11" s="686"/>
      <c r="N11" s="686"/>
      <c r="O11" s="686"/>
      <c r="P11" s="686"/>
      <c r="Q11" s="686"/>
      <c r="R11" s="686"/>
      <c r="S11" s="686"/>
      <c r="T11" s="686"/>
    </row>
    <row r="12" spans="1:20" x14ac:dyDescent="0.2">
      <c r="A12" s="686"/>
      <c r="B12" s="686"/>
      <c r="C12" s="686"/>
      <c r="D12" s="686"/>
      <c r="E12" s="686"/>
      <c r="F12" s="686"/>
      <c r="G12" s="686"/>
      <c r="H12" s="686"/>
      <c r="I12" s="686"/>
      <c r="J12" s="686"/>
      <c r="K12" s="686"/>
      <c r="L12" s="686"/>
      <c r="M12" s="686"/>
      <c r="N12" s="686"/>
      <c r="O12" s="686"/>
      <c r="P12" s="686"/>
      <c r="Q12" s="686"/>
      <c r="R12" s="686"/>
      <c r="S12" s="686"/>
      <c r="T12" s="686"/>
    </row>
    <row r="13" spans="1:20" x14ac:dyDescent="0.2">
      <c r="A13" s="686"/>
      <c r="B13" s="686"/>
      <c r="C13" s="686"/>
      <c r="D13" s="686"/>
      <c r="E13" s="686"/>
      <c r="F13" s="686"/>
      <c r="G13" s="686"/>
      <c r="H13" s="686"/>
      <c r="I13" s="686"/>
      <c r="J13" s="686"/>
      <c r="K13" s="686"/>
      <c r="L13" s="686"/>
      <c r="M13" s="686"/>
      <c r="N13" s="686"/>
      <c r="O13" s="686"/>
      <c r="P13" s="686"/>
      <c r="Q13" s="686"/>
      <c r="R13" s="686"/>
      <c r="S13" s="686"/>
      <c r="T13" s="686"/>
    </row>
    <row r="14" spans="1:20" x14ac:dyDescent="0.2">
      <c r="A14" s="686"/>
      <c r="B14" s="686"/>
      <c r="C14" s="686"/>
      <c r="D14" s="686"/>
      <c r="E14" s="686"/>
      <c r="F14" s="686"/>
      <c r="G14" s="686"/>
      <c r="H14" s="686"/>
      <c r="I14" s="686"/>
      <c r="J14" s="686"/>
      <c r="K14" s="686"/>
      <c r="L14" s="686"/>
      <c r="M14" s="686"/>
      <c r="N14" s="686"/>
      <c r="O14" s="686"/>
      <c r="P14" s="686"/>
      <c r="Q14" s="686"/>
      <c r="R14" s="686"/>
      <c r="S14" s="686"/>
      <c r="T14" s="686"/>
    </row>
    <row r="15" spans="1:20" x14ac:dyDescent="0.2">
      <c r="A15" s="686"/>
      <c r="B15" s="686"/>
      <c r="C15" s="686"/>
      <c r="D15" s="686"/>
      <c r="E15" s="686"/>
      <c r="F15" s="686"/>
      <c r="G15" s="686"/>
      <c r="H15" s="686"/>
      <c r="I15" s="686"/>
      <c r="J15" s="686"/>
      <c r="K15" s="686"/>
      <c r="L15" s="686"/>
      <c r="M15" s="686"/>
      <c r="N15" s="686"/>
      <c r="O15" s="686"/>
      <c r="P15" s="686"/>
      <c r="Q15" s="686"/>
      <c r="R15" s="686"/>
      <c r="S15" s="686"/>
      <c r="T15" s="686"/>
    </row>
    <row r="16" spans="1:20" x14ac:dyDescent="0.2">
      <c r="A16" s="686"/>
      <c r="B16" s="686"/>
      <c r="C16" s="686"/>
      <c r="D16" s="686"/>
      <c r="E16" s="686"/>
      <c r="F16" s="686"/>
      <c r="G16" s="686"/>
      <c r="H16" s="686"/>
      <c r="I16" s="686"/>
      <c r="J16" s="686"/>
      <c r="K16" s="686"/>
      <c r="L16" s="686"/>
      <c r="M16" s="686"/>
      <c r="N16" s="686"/>
      <c r="O16" s="686"/>
      <c r="P16" s="686"/>
      <c r="Q16" s="686"/>
      <c r="R16" s="686"/>
      <c r="S16" s="686"/>
      <c r="T16" s="686"/>
    </row>
    <row r="17" spans="1:20" x14ac:dyDescent="0.2">
      <c r="A17" s="686"/>
      <c r="B17" s="686"/>
      <c r="C17" s="686"/>
      <c r="D17" s="686"/>
      <c r="E17" s="686"/>
      <c r="F17" s="686"/>
      <c r="G17" s="686"/>
      <c r="H17" s="686"/>
      <c r="I17" s="686"/>
      <c r="J17" s="686"/>
      <c r="K17" s="686"/>
      <c r="L17" s="686"/>
      <c r="M17" s="686"/>
      <c r="N17" s="686"/>
      <c r="O17" s="686"/>
      <c r="P17" s="686"/>
      <c r="Q17" s="686"/>
      <c r="R17" s="686"/>
      <c r="S17" s="686"/>
      <c r="T17" s="686"/>
    </row>
    <row r="18" spans="1:20" x14ac:dyDescent="0.2">
      <c r="A18" s="686"/>
      <c r="B18" s="686"/>
      <c r="C18" s="686"/>
      <c r="D18" s="686"/>
      <c r="E18" s="686"/>
      <c r="F18" s="686"/>
      <c r="G18" s="686"/>
      <c r="H18" s="686"/>
      <c r="I18" s="686"/>
      <c r="J18" s="686"/>
      <c r="K18" s="686"/>
      <c r="L18" s="686"/>
      <c r="M18" s="686"/>
      <c r="N18" s="686"/>
      <c r="O18" s="686"/>
      <c r="P18" s="686"/>
      <c r="Q18" s="686"/>
      <c r="R18" s="686"/>
      <c r="S18" s="686"/>
      <c r="T18" s="686"/>
    </row>
    <row r="19" spans="1:20" x14ac:dyDescent="0.2">
      <c r="A19" s="686"/>
      <c r="B19" s="686"/>
      <c r="C19" s="686"/>
      <c r="D19" s="686"/>
      <c r="E19" s="686"/>
      <c r="F19" s="686"/>
      <c r="G19" s="686"/>
      <c r="H19" s="686"/>
      <c r="I19" s="686"/>
      <c r="J19" s="686"/>
      <c r="K19" s="686"/>
      <c r="L19" s="686"/>
      <c r="M19" s="686"/>
      <c r="N19" s="686"/>
      <c r="O19" s="686"/>
      <c r="P19" s="686"/>
      <c r="Q19" s="686"/>
      <c r="R19" s="686"/>
      <c r="S19" s="686"/>
      <c r="T19" s="686"/>
    </row>
    <row r="20" spans="1:20" x14ac:dyDescent="0.2">
      <c r="A20" s="686"/>
      <c r="B20" s="686"/>
      <c r="C20" s="686"/>
      <c r="D20" s="686"/>
      <c r="E20" s="686"/>
      <c r="F20" s="686"/>
      <c r="G20" s="686"/>
      <c r="H20" s="686"/>
      <c r="I20" s="686"/>
      <c r="J20" s="686"/>
      <c r="K20" s="686"/>
      <c r="L20" s="686"/>
      <c r="M20" s="686"/>
      <c r="N20" s="686"/>
      <c r="O20" s="686"/>
      <c r="P20" s="686"/>
      <c r="Q20" s="686"/>
      <c r="R20" s="686"/>
      <c r="S20" s="686"/>
      <c r="T20" s="686"/>
    </row>
    <row r="21" spans="1:20" x14ac:dyDescent="0.2">
      <c r="A21" s="686"/>
      <c r="B21" s="686"/>
      <c r="C21" s="686"/>
      <c r="D21" s="686"/>
      <c r="E21" s="686"/>
      <c r="F21" s="686"/>
      <c r="G21" s="686"/>
      <c r="H21" s="686"/>
      <c r="I21" s="686"/>
      <c r="J21" s="686"/>
      <c r="K21" s="686"/>
      <c r="L21" s="686"/>
      <c r="M21" s="686"/>
      <c r="N21" s="686"/>
      <c r="O21" s="686"/>
      <c r="P21" s="686"/>
      <c r="Q21" s="686"/>
      <c r="R21" s="686"/>
      <c r="S21" s="686"/>
      <c r="T21" s="686"/>
    </row>
    <row r="22" spans="1:20" x14ac:dyDescent="0.2">
      <c r="A22" s="686"/>
      <c r="B22" s="686"/>
      <c r="C22" s="686"/>
      <c r="D22" s="686"/>
      <c r="E22" s="686"/>
      <c r="F22" s="686"/>
      <c r="G22" s="686"/>
      <c r="H22" s="686"/>
      <c r="I22" s="686"/>
      <c r="J22" s="686"/>
      <c r="K22" s="686"/>
      <c r="L22" s="686"/>
      <c r="M22" s="686"/>
      <c r="N22" s="686"/>
      <c r="O22" s="686"/>
      <c r="P22" s="686"/>
      <c r="Q22" s="686"/>
      <c r="R22" s="686"/>
      <c r="S22" s="686"/>
      <c r="T22" s="686"/>
    </row>
    <row r="23" spans="1:20" x14ac:dyDescent="0.2">
      <c r="A23" s="686"/>
      <c r="B23" s="686"/>
      <c r="C23" s="686"/>
      <c r="D23" s="686"/>
      <c r="E23" s="686"/>
      <c r="F23" s="686"/>
      <c r="G23" s="686"/>
      <c r="H23" s="686"/>
      <c r="I23" s="686"/>
      <c r="J23" s="686"/>
      <c r="K23" s="686"/>
      <c r="L23" s="686"/>
      <c r="M23" s="686"/>
      <c r="N23" s="686"/>
      <c r="O23" s="686"/>
      <c r="P23" s="686"/>
      <c r="Q23" s="686"/>
      <c r="R23" s="686"/>
      <c r="S23" s="686"/>
      <c r="T23" s="686"/>
    </row>
    <row r="24" spans="1:20" x14ac:dyDescent="0.2">
      <c r="A24" s="686"/>
      <c r="B24" s="686"/>
      <c r="C24" s="686"/>
      <c r="D24" s="686"/>
      <c r="E24" s="686"/>
      <c r="F24" s="686"/>
      <c r="G24" s="686"/>
      <c r="H24" s="686"/>
      <c r="I24" s="686"/>
      <c r="J24" s="686"/>
      <c r="K24" s="686"/>
      <c r="L24" s="686"/>
      <c r="M24" s="686"/>
      <c r="N24" s="686"/>
      <c r="O24" s="686"/>
      <c r="P24" s="686"/>
      <c r="Q24" s="686"/>
      <c r="R24" s="686"/>
      <c r="S24" s="686"/>
      <c r="T24" s="686"/>
    </row>
    <row r="25" spans="1:20" x14ac:dyDescent="0.2">
      <c r="A25" s="686"/>
      <c r="B25" s="686"/>
      <c r="C25" s="686"/>
      <c r="D25" s="686"/>
      <c r="E25" s="686"/>
      <c r="F25" s="686"/>
      <c r="G25" s="686"/>
      <c r="H25" s="686"/>
      <c r="I25" s="686"/>
      <c r="J25" s="686"/>
      <c r="K25" s="686"/>
      <c r="L25" s="686"/>
      <c r="M25" s="686"/>
      <c r="N25" s="686"/>
      <c r="O25" s="686"/>
      <c r="P25" s="686"/>
      <c r="Q25" s="686"/>
      <c r="R25" s="686"/>
      <c r="S25" s="686"/>
      <c r="T25" s="686"/>
    </row>
    <row r="26" spans="1:20" x14ac:dyDescent="0.2">
      <c r="A26" s="686"/>
      <c r="B26" s="686"/>
      <c r="C26" s="686"/>
      <c r="D26" s="686"/>
      <c r="E26" s="686"/>
      <c r="F26" s="686"/>
      <c r="G26" s="686"/>
      <c r="H26" s="686"/>
      <c r="I26" s="686"/>
      <c r="J26" s="686"/>
      <c r="K26" s="686"/>
      <c r="L26" s="686"/>
      <c r="M26" s="686"/>
      <c r="N26" s="686"/>
      <c r="O26" s="686"/>
      <c r="P26" s="686"/>
      <c r="Q26" s="686"/>
      <c r="R26" s="686"/>
      <c r="S26" s="686"/>
      <c r="T26" s="686"/>
    </row>
    <row r="27" spans="1:20" x14ac:dyDescent="0.2">
      <c r="A27" s="686"/>
      <c r="B27" s="686"/>
      <c r="C27" s="686"/>
      <c r="D27" s="686"/>
      <c r="E27" s="686"/>
      <c r="F27" s="686"/>
      <c r="G27" s="686"/>
      <c r="H27" s="686"/>
      <c r="I27" s="686"/>
      <c r="J27" s="686"/>
      <c r="K27" s="686"/>
      <c r="L27" s="686"/>
      <c r="M27" s="686"/>
      <c r="N27" s="686"/>
      <c r="O27" s="686"/>
      <c r="P27" s="686"/>
      <c r="Q27" s="686"/>
      <c r="R27" s="686"/>
      <c r="S27" s="686"/>
      <c r="T27" s="686"/>
    </row>
    <row r="28" spans="1:20" x14ac:dyDescent="0.2">
      <c r="A28" s="686"/>
      <c r="B28" s="686"/>
      <c r="C28" s="686"/>
      <c r="D28" s="686"/>
      <c r="E28" s="686"/>
      <c r="F28" s="686"/>
      <c r="G28" s="686"/>
      <c r="H28" s="686"/>
      <c r="I28" s="686"/>
      <c r="J28" s="686"/>
      <c r="K28" s="686"/>
      <c r="L28" s="686"/>
      <c r="M28" s="686"/>
      <c r="N28" s="686"/>
      <c r="O28" s="686"/>
      <c r="P28" s="686"/>
      <c r="Q28" s="686"/>
      <c r="R28" s="686"/>
      <c r="S28" s="686"/>
      <c r="T28" s="686"/>
    </row>
    <row r="29" spans="1:20" x14ac:dyDescent="0.2">
      <c r="A29" s="686"/>
      <c r="B29" s="686"/>
      <c r="C29" s="686"/>
      <c r="D29" s="686"/>
      <c r="E29" s="686"/>
      <c r="F29" s="686"/>
      <c r="G29" s="686"/>
      <c r="H29" s="686"/>
      <c r="I29" s="686"/>
      <c r="J29" s="686"/>
      <c r="K29" s="686"/>
      <c r="L29" s="686"/>
      <c r="M29" s="686"/>
      <c r="N29" s="686"/>
      <c r="O29" s="686"/>
      <c r="P29" s="686"/>
      <c r="Q29" s="686"/>
      <c r="R29" s="686"/>
      <c r="S29" s="686"/>
      <c r="T29" s="686"/>
    </row>
    <row r="30" spans="1:20" x14ac:dyDescent="0.2">
      <c r="A30" s="686"/>
      <c r="B30" s="686"/>
      <c r="C30" s="686"/>
      <c r="D30" s="686"/>
      <c r="E30" s="686"/>
      <c r="F30" s="686"/>
      <c r="G30" s="686"/>
      <c r="H30" s="686"/>
      <c r="I30" s="686"/>
      <c r="J30" s="686"/>
      <c r="K30" s="686"/>
      <c r="L30" s="686"/>
      <c r="M30" s="686"/>
      <c r="N30" s="686"/>
      <c r="O30" s="686"/>
      <c r="P30" s="686"/>
      <c r="Q30" s="686"/>
      <c r="R30" s="686"/>
      <c r="S30" s="686"/>
      <c r="T30" s="686"/>
    </row>
    <row r="31" spans="1:20" x14ac:dyDescent="0.2">
      <c r="A31" s="686"/>
      <c r="B31" s="686"/>
      <c r="C31" s="686"/>
      <c r="D31" s="686"/>
      <c r="E31" s="686"/>
      <c r="F31" s="686"/>
      <c r="G31" s="686"/>
      <c r="H31" s="686"/>
      <c r="I31" s="686"/>
      <c r="J31" s="686"/>
      <c r="K31" s="686"/>
      <c r="L31" s="686"/>
      <c r="M31" s="686"/>
      <c r="N31" s="686"/>
      <c r="O31" s="686"/>
      <c r="P31" s="686"/>
      <c r="Q31" s="686"/>
      <c r="R31" s="686"/>
      <c r="S31" s="686"/>
      <c r="T31" s="686"/>
    </row>
    <row r="32" spans="1:20" x14ac:dyDescent="0.2">
      <c r="A32" s="686"/>
      <c r="B32" s="686"/>
      <c r="C32" s="686"/>
      <c r="D32" s="686"/>
      <c r="E32" s="686"/>
      <c r="F32" s="686"/>
      <c r="G32" s="686"/>
      <c r="H32" s="686"/>
      <c r="I32" s="686"/>
      <c r="J32" s="686"/>
      <c r="K32" s="686"/>
      <c r="L32" s="686"/>
      <c r="M32" s="686"/>
      <c r="N32" s="686"/>
      <c r="O32" s="686"/>
      <c r="P32" s="686"/>
      <c r="Q32" s="686"/>
      <c r="R32" s="686"/>
      <c r="S32" s="686"/>
      <c r="T32" s="686"/>
    </row>
    <row r="33" spans="1:20" x14ac:dyDescent="0.2">
      <c r="A33" s="686"/>
      <c r="B33" s="686"/>
      <c r="C33" s="686"/>
      <c r="D33" s="686"/>
      <c r="E33" s="686"/>
      <c r="F33" s="686"/>
      <c r="G33" s="686"/>
      <c r="H33" s="686"/>
      <c r="I33" s="686"/>
      <c r="J33" s="686"/>
      <c r="K33" s="686"/>
      <c r="L33" s="686"/>
      <c r="M33" s="686"/>
      <c r="N33" s="686"/>
      <c r="O33" s="686"/>
      <c r="P33" s="686"/>
      <c r="Q33" s="686"/>
      <c r="R33" s="686"/>
      <c r="S33" s="686"/>
      <c r="T33" s="686"/>
    </row>
    <row r="34" spans="1:20" x14ac:dyDescent="0.2">
      <c r="A34" s="686"/>
      <c r="B34" s="686"/>
      <c r="C34" s="686"/>
      <c r="D34" s="686"/>
      <c r="E34" s="686"/>
      <c r="F34" s="686"/>
      <c r="G34" s="686"/>
      <c r="H34" s="686"/>
      <c r="I34" s="686"/>
      <c r="J34" s="686"/>
      <c r="K34" s="686"/>
      <c r="L34" s="686"/>
      <c r="M34" s="686"/>
      <c r="N34" s="686"/>
      <c r="O34" s="686"/>
      <c r="P34" s="686"/>
      <c r="Q34" s="686"/>
      <c r="R34" s="686"/>
      <c r="S34" s="686"/>
      <c r="T34" s="686"/>
    </row>
    <row r="35" spans="1:20" x14ac:dyDescent="0.2">
      <c r="A35" s="686"/>
      <c r="B35" s="686"/>
      <c r="C35" s="686"/>
      <c r="D35" s="686"/>
      <c r="E35" s="686"/>
      <c r="F35" s="686"/>
      <c r="G35" s="686"/>
      <c r="H35" s="686"/>
      <c r="I35" s="686"/>
      <c r="J35" s="686"/>
      <c r="K35" s="686"/>
      <c r="L35" s="686"/>
      <c r="M35" s="686"/>
      <c r="N35" s="686"/>
      <c r="O35" s="686"/>
      <c r="P35" s="686"/>
      <c r="Q35" s="686"/>
      <c r="R35" s="686"/>
      <c r="S35" s="686"/>
      <c r="T35" s="686"/>
    </row>
    <row r="36" spans="1:20" x14ac:dyDescent="0.2">
      <c r="A36" s="686"/>
      <c r="B36" s="686"/>
      <c r="C36" s="686"/>
      <c r="D36" s="686"/>
      <c r="E36" s="686"/>
      <c r="F36" s="686"/>
      <c r="G36" s="686"/>
      <c r="H36" s="686"/>
      <c r="I36" s="686"/>
      <c r="J36" s="686"/>
      <c r="K36" s="686"/>
      <c r="L36" s="686"/>
      <c r="M36" s="686"/>
      <c r="N36" s="686"/>
      <c r="O36" s="686"/>
      <c r="P36" s="686"/>
      <c r="Q36" s="686"/>
      <c r="R36" s="686"/>
      <c r="S36" s="686"/>
      <c r="T36" s="686"/>
    </row>
    <row r="37" spans="1:20" x14ac:dyDescent="0.2">
      <c r="A37" s="686"/>
      <c r="B37" s="686"/>
      <c r="C37" s="686"/>
      <c r="D37" s="686"/>
      <c r="E37" s="686"/>
      <c r="F37" s="686"/>
      <c r="G37" s="686"/>
      <c r="H37" s="686"/>
      <c r="I37" s="686"/>
      <c r="J37" s="686"/>
      <c r="K37" s="686"/>
      <c r="L37" s="686"/>
      <c r="M37" s="686"/>
      <c r="N37" s="686"/>
      <c r="O37" s="686"/>
      <c r="P37" s="686"/>
      <c r="Q37" s="686"/>
      <c r="R37" s="686"/>
      <c r="S37" s="686"/>
      <c r="T37" s="686"/>
    </row>
    <row r="38" spans="1:20" x14ac:dyDescent="0.2">
      <c r="A38" s="686"/>
      <c r="B38" s="686"/>
      <c r="C38" s="686"/>
      <c r="D38" s="686"/>
      <c r="E38" s="686"/>
      <c r="F38" s="686"/>
      <c r="G38" s="686"/>
      <c r="H38" s="686"/>
      <c r="I38" s="686"/>
      <c r="J38" s="686"/>
      <c r="K38" s="686"/>
      <c r="L38" s="686"/>
      <c r="M38" s="686"/>
      <c r="N38" s="686"/>
      <c r="O38" s="686"/>
      <c r="P38" s="686"/>
      <c r="Q38" s="686"/>
      <c r="R38" s="686"/>
      <c r="S38" s="686"/>
      <c r="T38" s="686"/>
    </row>
    <row r="39" spans="1:20" x14ac:dyDescent="0.2">
      <c r="A39" s="686"/>
      <c r="B39" s="686"/>
      <c r="C39" s="686"/>
      <c r="D39" s="686"/>
      <c r="E39" s="686"/>
      <c r="F39" s="686"/>
      <c r="G39" s="686"/>
      <c r="H39" s="686"/>
      <c r="I39" s="686"/>
      <c r="J39" s="686"/>
      <c r="K39" s="686"/>
      <c r="L39" s="686"/>
      <c r="M39" s="686"/>
      <c r="N39" s="686"/>
      <c r="O39" s="686"/>
      <c r="P39" s="686"/>
      <c r="Q39" s="686"/>
      <c r="R39" s="686"/>
      <c r="S39" s="686"/>
      <c r="T39" s="686"/>
    </row>
    <row r="40" spans="1:20" x14ac:dyDescent="0.2">
      <c r="A40" s="686"/>
      <c r="B40" s="686"/>
      <c r="C40" s="686"/>
      <c r="D40" s="686"/>
      <c r="E40" s="686"/>
      <c r="F40" s="686"/>
      <c r="G40" s="686"/>
      <c r="H40" s="686"/>
      <c r="I40" s="686"/>
      <c r="J40" s="686"/>
      <c r="K40" s="686"/>
      <c r="L40" s="686"/>
      <c r="M40" s="686"/>
      <c r="N40" s="686"/>
      <c r="O40" s="686"/>
      <c r="P40" s="686"/>
      <c r="Q40" s="686"/>
      <c r="R40" s="686"/>
      <c r="S40" s="686"/>
      <c r="T40" s="686"/>
    </row>
    <row r="41" spans="1:20" x14ac:dyDescent="0.2">
      <c r="A41" s="686"/>
      <c r="B41" s="686"/>
      <c r="C41" s="686"/>
      <c r="D41" s="686"/>
      <c r="E41" s="686"/>
      <c r="F41" s="686"/>
      <c r="G41" s="686"/>
      <c r="H41" s="686"/>
      <c r="I41" s="686"/>
      <c r="J41" s="686"/>
      <c r="K41" s="686"/>
      <c r="L41" s="686"/>
      <c r="M41" s="686"/>
      <c r="N41" s="686"/>
      <c r="O41" s="686"/>
      <c r="P41" s="686"/>
      <c r="Q41" s="686"/>
      <c r="R41" s="686"/>
      <c r="S41" s="686"/>
      <c r="T41" s="686"/>
    </row>
    <row r="42" spans="1:20" x14ac:dyDescent="0.2">
      <c r="A42" s="686"/>
      <c r="B42" s="686"/>
      <c r="C42" s="686"/>
      <c r="D42" s="686"/>
      <c r="E42" s="686"/>
      <c r="F42" s="686"/>
      <c r="G42" s="686"/>
      <c r="H42" s="686"/>
      <c r="I42" s="686"/>
      <c r="J42" s="686"/>
      <c r="K42" s="686"/>
      <c r="L42" s="686"/>
      <c r="M42" s="686"/>
      <c r="N42" s="686"/>
      <c r="O42" s="686"/>
      <c r="P42" s="686"/>
      <c r="Q42" s="686"/>
      <c r="R42" s="686"/>
      <c r="S42" s="686"/>
      <c r="T42" s="686"/>
    </row>
    <row r="43" spans="1:20" x14ac:dyDescent="0.2">
      <c r="A43" s="686"/>
      <c r="B43" s="686"/>
      <c r="C43" s="686"/>
      <c r="D43" s="686"/>
      <c r="E43" s="686"/>
      <c r="F43" s="686"/>
      <c r="G43" s="686"/>
      <c r="H43" s="686"/>
      <c r="I43" s="686"/>
      <c r="J43" s="686"/>
      <c r="K43" s="686"/>
      <c r="L43" s="686"/>
      <c r="M43" s="686"/>
      <c r="N43" s="686"/>
      <c r="O43" s="686"/>
      <c r="P43" s="686"/>
      <c r="Q43" s="686"/>
      <c r="R43" s="686"/>
      <c r="S43" s="686"/>
      <c r="T43" s="686"/>
    </row>
    <row r="44" spans="1:20" x14ac:dyDescent="0.2">
      <c r="A44" s="686"/>
      <c r="B44" s="686"/>
      <c r="C44" s="686"/>
      <c r="D44" s="686"/>
      <c r="E44" s="686"/>
      <c r="F44" s="686"/>
      <c r="G44" s="686"/>
      <c r="H44" s="686"/>
      <c r="I44" s="686"/>
      <c r="J44" s="686"/>
      <c r="K44" s="686"/>
      <c r="L44" s="686"/>
      <c r="M44" s="686"/>
      <c r="N44" s="686"/>
      <c r="O44" s="686"/>
      <c r="P44" s="686"/>
      <c r="Q44" s="686"/>
      <c r="R44" s="686"/>
      <c r="S44" s="686"/>
      <c r="T44" s="686"/>
    </row>
    <row r="45" spans="1:20" x14ac:dyDescent="0.2">
      <c r="A45" s="686"/>
      <c r="B45" s="686"/>
      <c r="C45" s="686"/>
      <c r="D45" s="686"/>
      <c r="E45" s="686"/>
      <c r="F45" s="686"/>
      <c r="G45" s="686"/>
      <c r="H45" s="686"/>
      <c r="I45" s="686"/>
      <c r="J45" s="686"/>
      <c r="K45" s="686"/>
      <c r="L45" s="686"/>
      <c r="M45" s="686"/>
      <c r="N45" s="686"/>
      <c r="O45" s="686"/>
      <c r="P45" s="686"/>
      <c r="Q45" s="686"/>
      <c r="R45" s="686"/>
      <c r="S45" s="686"/>
      <c r="T45" s="686"/>
    </row>
    <row r="46" spans="1:20" x14ac:dyDescent="0.2">
      <c r="A46" s="686"/>
      <c r="B46" s="686"/>
      <c r="C46" s="686"/>
      <c r="D46" s="686"/>
      <c r="E46" s="686"/>
      <c r="F46" s="686"/>
      <c r="G46" s="686"/>
      <c r="H46" s="686"/>
      <c r="I46" s="686"/>
      <c r="J46" s="686"/>
      <c r="K46" s="686"/>
      <c r="L46" s="686"/>
      <c r="M46" s="686"/>
      <c r="N46" s="686"/>
      <c r="O46" s="686"/>
      <c r="P46" s="686"/>
      <c r="Q46" s="686"/>
      <c r="R46" s="686"/>
      <c r="S46" s="686"/>
      <c r="T46" s="686"/>
    </row>
    <row r="47" spans="1:20" x14ac:dyDescent="0.2">
      <c r="A47" s="686"/>
      <c r="B47" s="686"/>
      <c r="C47" s="686"/>
      <c r="D47" s="686"/>
      <c r="E47" s="686"/>
      <c r="F47" s="686"/>
      <c r="G47" s="686"/>
      <c r="H47" s="686"/>
      <c r="I47" s="686"/>
      <c r="J47" s="686"/>
      <c r="K47" s="686"/>
      <c r="L47" s="686"/>
      <c r="M47" s="686"/>
      <c r="N47" s="686"/>
      <c r="O47" s="686"/>
      <c r="P47" s="686"/>
      <c r="Q47" s="686"/>
      <c r="R47" s="686"/>
      <c r="S47" s="686"/>
      <c r="T47" s="686"/>
    </row>
    <row r="48" spans="1:20" x14ac:dyDescent="0.2">
      <c r="A48" s="686"/>
      <c r="B48" s="686"/>
      <c r="C48" s="686"/>
      <c r="D48" s="686"/>
      <c r="E48" s="686"/>
      <c r="F48" s="686"/>
      <c r="G48" s="686"/>
      <c r="H48" s="686"/>
      <c r="I48" s="686"/>
      <c r="J48" s="686"/>
      <c r="K48" s="686"/>
      <c r="L48" s="686"/>
      <c r="M48" s="686"/>
      <c r="N48" s="686"/>
      <c r="O48" s="686"/>
      <c r="P48" s="686"/>
      <c r="Q48" s="686"/>
      <c r="R48" s="686"/>
      <c r="S48" s="686"/>
      <c r="T48" s="686"/>
    </row>
    <row r="49" spans="1:20" x14ac:dyDescent="0.2">
      <c r="A49" s="686"/>
      <c r="B49" s="686"/>
      <c r="C49" s="686"/>
      <c r="D49" s="686"/>
      <c r="E49" s="686"/>
      <c r="F49" s="686"/>
      <c r="G49" s="686"/>
      <c r="H49" s="686"/>
      <c r="I49" s="686"/>
      <c r="J49" s="686"/>
      <c r="K49" s="686"/>
      <c r="L49" s="686"/>
      <c r="M49" s="686"/>
      <c r="N49" s="686"/>
      <c r="O49" s="686"/>
      <c r="P49" s="686"/>
      <c r="Q49" s="686"/>
      <c r="R49" s="686"/>
      <c r="S49" s="686"/>
      <c r="T49" s="686"/>
    </row>
    <row r="50" spans="1:20" x14ac:dyDescent="0.2">
      <c r="A50" s="686"/>
      <c r="B50" s="686"/>
      <c r="C50" s="686"/>
      <c r="D50" s="686"/>
      <c r="E50" s="686"/>
      <c r="F50" s="686"/>
      <c r="G50" s="686"/>
      <c r="H50" s="686"/>
      <c r="I50" s="686"/>
      <c r="J50" s="686"/>
      <c r="K50" s="686"/>
      <c r="L50" s="686"/>
      <c r="M50" s="686"/>
      <c r="N50" s="686"/>
      <c r="O50" s="686"/>
      <c r="P50" s="686"/>
      <c r="Q50" s="686"/>
      <c r="R50" s="686"/>
      <c r="S50" s="686"/>
      <c r="T50" s="686"/>
    </row>
    <row r="51" spans="1:20" x14ac:dyDescent="0.2">
      <c r="A51" s="686"/>
      <c r="B51" s="686"/>
      <c r="C51" s="686"/>
      <c r="D51" s="686"/>
      <c r="E51" s="686"/>
      <c r="F51" s="686"/>
      <c r="G51" s="686"/>
      <c r="H51" s="686"/>
      <c r="I51" s="686"/>
      <c r="J51" s="686"/>
      <c r="K51" s="686"/>
      <c r="L51" s="686"/>
      <c r="M51" s="686"/>
      <c r="N51" s="686"/>
      <c r="O51" s="686"/>
      <c r="P51" s="686"/>
      <c r="Q51" s="686"/>
      <c r="R51" s="686"/>
      <c r="S51" s="686"/>
      <c r="T51" s="686"/>
    </row>
    <row r="52" spans="1:20" x14ac:dyDescent="0.2">
      <c r="A52" s="686"/>
      <c r="B52" s="686"/>
      <c r="C52" s="686"/>
      <c r="D52" s="686"/>
      <c r="E52" s="686"/>
      <c r="F52" s="686"/>
      <c r="G52" s="686"/>
      <c r="H52" s="686"/>
      <c r="I52" s="686"/>
      <c r="J52" s="686"/>
      <c r="K52" s="686"/>
      <c r="L52" s="686"/>
      <c r="M52" s="686"/>
      <c r="N52" s="686"/>
      <c r="O52" s="686"/>
      <c r="P52" s="686"/>
      <c r="Q52" s="686"/>
      <c r="R52" s="686"/>
      <c r="S52" s="686"/>
      <c r="T52" s="686"/>
    </row>
    <row r="53" spans="1:20" x14ac:dyDescent="0.2">
      <c r="A53" s="686"/>
      <c r="B53" s="686"/>
      <c r="C53" s="686"/>
      <c r="D53" s="686"/>
      <c r="E53" s="686"/>
      <c r="F53" s="686"/>
      <c r="G53" s="686"/>
      <c r="H53" s="686"/>
      <c r="I53" s="686"/>
      <c r="J53" s="686"/>
      <c r="K53" s="686"/>
      <c r="L53" s="686"/>
      <c r="M53" s="686"/>
      <c r="N53" s="686"/>
      <c r="O53" s="686"/>
      <c r="P53" s="686"/>
      <c r="Q53" s="686"/>
      <c r="R53" s="686"/>
      <c r="S53" s="686"/>
      <c r="T53" s="686"/>
    </row>
    <row r="54" spans="1:20" x14ac:dyDescent="0.2">
      <c r="A54" s="686"/>
      <c r="B54" s="686"/>
      <c r="C54" s="686"/>
      <c r="D54" s="686"/>
      <c r="E54" s="686"/>
      <c r="F54" s="686"/>
      <c r="G54" s="686"/>
      <c r="H54" s="686"/>
      <c r="I54" s="686"/>
      <c r="J54" s="686"/>
      <c r="K54" s="686"/>
      <c r="L54" s="686"/>
      <c r="M54" s="686"/>
      <c r="N54" s="686"/>
      <c r="O54" s="686"/>
      <c r="P54" s="686"/>
      <c r="Q54" s="686"/>
      <c r="R54" s="686"/>
      <c r="S54" s="686"/>
      <c r="T54" s="686"/>
    </row>
    <row r="55" spans="1:20" x14ac:dyDescent="0.2">
      <c r="A55" s="686"/>
      <c r="B55" s="686"/>
      <c r="C55" s="686"/>
      <c r="D55" s="686"/>
      <c r="E55" s="686"/>
      <c r="F55" s="686"/>
      <c r="G55" s="686"/>
      <c r="H55" s="686"/>
      <c r="I55" s="686"/>
      <c r="J55" s="686"/>
      <c r="K55" s="686"/>
      <c r="L55" s="686"/>
      <c r="M55" s="686"/>
      <c r="N55" s="686"/>
      <c r="O55" s="686"/>
      <c r="P55" s="686"/>
      <c r="Q55" s="686"/>
      <c r="R55" s="686"/>
      <c r="S55" s="686"/>
      <c r="T55" s="686"/>
    </row>
    <row r="56" spans="1:20" x14ac:dyDescent="0.2">
      <c r="A56" s="686"/>
      <c r="B56" s="686"/>
      <c r="C56" s="686"/>
      <c r="D56" s="686"/>
      <c r="E56" s="686"/>
      <c r="F56" s="686"/>
      <c r="G56" s="686"/>
      <c r="H56" s="686"/>
      <c r="I56" s="686"/>
      <c r="J56" s="686"/>
      <c r="K56" s="686"/>
      <c r="L56" s="686"/>
      <c r="M56" s="686"/>
      <c r="N56" s="686"/>
      <c r="O56" s="686"/>
      <c r="P56" s="686"/>
      <c r="Q56" s="686"/>
      <c r="R56" s="686"/>
      <c r="S56" s="686"/>
      <c r="T56" s="686"/>
    </row>
    <row r="57" spans="1:20" x14ac:dyDescent="0.2">
      <c r="A57" s="686"/>
      <c r="B57" s="686"/>
      <c r="C57" s="686"/>
      <c r="D57" s="686"/>
      <c r="E57" s="686"/>
      <c r="F57" s="686"/>
      <c r="G57" s="686"/>
      <c r="H57" s="686"/>
      <c r="I57" s="686"/>
      <c r="J57" s="686"/>
      <c r="K57" s="686"/>
      <c r="L57" s="686"/>
      <c r="M57" s="686"/>
      <c r="N57" s="686"/>
      <c r="O57" s="686"/>
      <c r="P57" s="686"/>
      <c r="Q57" s="686"/>
      <c r="R57" s="686"/>
      <c r="S57" s="686"/>
      <c r="T57" s="686"/>
    </row>
    <row r="58" spans="1:20" x14ac:dyDescent="0.2">
      <c r="A58" s="686"/>
      <c r="B58" s="686"/>
      <c r="C58" s="686"/>
      <c r="D58" s="686"/>
      <c r="E58" s="686"/>
      <c r="F58" s="686"/>
      <c r="G58" s="686"/>
      <c r="H58" s="686"/>
      <c r="I58" s="686"/>
      <c r="J58" s="686"/>
      <c r="K58" s="686"/>
      <c r="L58" s="686"/>
      <c r="M58" s="686"/>
      <c r="N58" s="686"/>
      <c r="O58" s="686"/>
      <c r="P58" s="686"/>
      <c r="Q58" s="686"/>
      <c r="R58" s="686"/>
      <c r="S58" s="686"/>
      <c r="T58" s="686"/>
    </row>
    <row r="59" spans="1:20" x14ac:dyDescent="0.2">
      <c r="A59" s="686"/>
      <c r="B59" s="686"/>
      <c r="C59" s="686"/>
      <c r="D59" s="686"/>
      <c r="E59" s="686"/>
      <c r="F59" s="686"/>
      <c r="G59" s="686"/>
      <c r="H59" s="686"/>
      <c r="I59" s="686"/>
      <c r="J59" s="686"/>
      <c r="K59" s="686"/>
      <c r="L59" s="686"/>
      <c r="M59" s="686"/>
      <c r="N59" s="686"/>
      <c r="O59" s="686"/>
      <c r="P59" s="686"/>
      <c r="Q59" s="686"/>
      <c r="R59" s="686"/>
      <c r="S59" s="686"/>
      <c r="T59" s="687" t="s">
        <v>592</v>
      </c>
    </row>
    <row r="60" spans="1:20" x14ac:dyDescent="0.2">
      <c r="A60" s="686"/>
      <c r="B60" s="686"/>
      <c r="C60" s="686"/>
      <c r="D60" s="686"/>
      <c r="E60" s="686"/>
      <c r="F60" s="686"/>
      <c r="G60" s="686"/>
      <c r="H60" s="686"/>
      <c r="I60" s="686"/>
      <c r="J60" s="686"/>
      <c r="K60" s="686"/>
      <c r="L60" s="686"/>
      <c r="M60" s="686"/>
      <c r="N60" s="686"/>
      <c r="O60" s="686"/>
      <c r="P60" s="686"/>
      <c r="Q60" s="686"/>
      <c r="R60" s="686"/>
      <c r="S60" s="686"/>
      <c r="T60" s="686"/>
    </row>
    <row r="61" spans="1:20" x14ac:dyDescent="0.2">
      <c r="A61" s="686"/>
      <c r="B61" s="686"/>
      <c r="C61" s="686"/>
      <c r="D61" s="686"/>
      <c r="E61" s="686"/>
      <c r="F61" s="686"/>
      <c r="G61" s="686"/>
      <c r="H61" s="686"/>
      <c r="I61" s="686"/>
      <c r="J61" s="686"/>
      <c r="K61" s="686"/>
      <c r="L61" s="686"/>
      <c r="M61" s="686"/>
      <c r="N61" s="686"/>
      <c r="O61" s="686"/>
      <c r="P61" s="686"/>
      <c r="Q61" s="686"/>
      <c r="R61" s="686"/>
      <c r="S61" s="686"/>
      <c r="T61" s="686"/>
    </row>
    <row r="62" spans="1:20" x14ac:dyDescent="0.2">
      <c r="A62" s="686"/>
      <c r="B62" s="686"/>
      <c r="C62" s="686"/>
      <c r="D62" s="686"/>
      <c r="E62" s="686"/>
      <c r="F62" s="686"/>
      <c r="G62" s="686"/>
      <c r="H62" s="686"/>
      <c r="I62" s="686"/>
      <c r="J62" s="686"/>
      <c r="K62" s="686"/>
      <c r="L62" s="686"/>
      <c r="M62" s="686"/>
      <c r="N62" s="686"/>
      <c r="O62" s="686"/>
      <c r="P62" s="686"/>
      <c r="Q62" s="686"/>
      <c r="R62" s="686"/>
      <c r="S62" s="686"/>
      <c r="T62" s="686"/>
    </row>
    <row r="63" spans="1:20" x14ac:dyDescent="0.2">
      <c r="A63" s="686"/>
      <c r="B63" s="686"/>
      <c r="C63" s="686"/>
      <c r="D63" s="686"/>
      <c r="E63" s="686"/>
      <c r="F63" s="686"/>
      <c r="G63" s="686"/>
      <c r="H63" s="686"/>
      <c r="I63" s="686"/>
      <c r="J63" s="686"/>
      <c r="K63" s="686"/>
      <c r="L63" s="686"/>
      <c r="M63" s="686"/>
      <c r="N63" s="686"/>
      <c r="O63" s="686"/>
      <c r="P63" s="686"/>
      <c r="Q63" s="686"/>
      <c r="R63" s="686"/>
      <c r="S63" s="686"/>
      <c r="T63" s="686"/>
    </row>
    <row r="64" spans="1:20" x14ac:dyDescent="0.2">
      <c r="A64" s="686"/>
      <c r="B64" s="686"/>
      <c r="C64" s="686"/>
      <c r="D64" s="686"/>
      <c r="E64" s="686"/>
      <c r="F64" s="686"/>
      <c r="G64" s="686"/>
      <c r="H64" s="686"/>
      <c r="I64" s="686"/>
      <c r="J64" s="686"/>
      <c r="K64" s="686"/>
      <c r="L64" s="686"/>
      <c r="M64" s="686"/>
      <c r="N64" s="686"/>
      <c r="O64" s="686"/>
      <c r="P64" s="686"/>
      <c r="Q64" s="686"/>
      <c r="R64" s="686"/>
      <c r="S64" s="686"/>
      <c r="T64" s="686"/>
    </row>
    <row r="65" spans="1:20" x14ac:dyDescent="0.2">
      <c r="A65" s="686"/>
      <c r="B65" s="686"/>
      <c r="C65" s="686"/>
      <c r="D65" s="686"/>
      <c r="E65" s="686"/>
      <c r="F65" s="686"/>
      <c r="G65" s="686"/>
      <c r="H65" s="686"/>
      <c r="I65" s="686"/>
      <c r="J65" s="686"/>
      <c r="K65" s="686"/>
      <c r="L65" s="686"/>
      <c r="M65" s="686"/>
      <c r="N65" s="686"/>
      <c r="O65" s="686"/>
      <c r="P65" s="686"/>
      <c r="Q65" s="686"/>
      <c r="R65" s="686"/>
      <c r="S65" s="686"/>
      <c r="T65" s="686"/>
    </row>
    <row r="66" spans="1:20" x14ac:dyDescent="0.2">
      <c r="A66" s="686"/>
      <c r="B66" s="686"/>
      <c r="C66" s="686"/>
      <c r="D66" s="686"/>
      <c r="E66" s="686"/>
      <c r="F66" s="686"/>
      <c r="G66" s="686"/>
      <c r="H66" s="686"/>
      <c r="I66" s="686"/>
      <c r="J66" s="686"/>
      <c r="K66" s="686"/>
      <c r="L66" s="686"/>
      <c r="M66" s="686"/>
      <c r="N66" s="686"/>
      <c r="O66" s="686"/>
      <c r="P66" s="686"/>
      <c r="Q66" s="686"/>
      <c r="R66" s="686"/>
      <c r="S66" s="686"/>
      <c r="T66" s="686"/>
    </row>
    <row r="67" spans="1:20" x14ac:dyDescent="0.2">
      <c r="A67" s="686"/>
      <c r="B67" s="686"/>
      <c r="C67" s="686"/>
      <c r="D67" s="686"/>
      <c r="E67" s="686"/>
      <c r="F67" s="686"/>
      <c r="G67" s="686"/>
      <c r="H67" s="686"/>
      <c r="I67" s="686"/>
      <c r="J67" s="686"/>
      <c r="K67" s="686"/>
      <c r="L67" s="686"/>
      <c r="M67" s="686"/>
      <c r="N67" s="686"/>
      <c r="O67" s="686"/>
      <c r="P67" s="686"/>
      <c r="Q67" s="686"/>
      <c r="R67" s="686"/>
      <c r="S67" s="686"/>
      <c r="T67" s="686"/>
    </row>
    <row r="68" spans="1:20" x14ac:dyDescent="0.2">
      <c r="A68" s="686"/>
      <c r="B68" s="686"/>
      <c r="C68" s="686"/>
      <c r="D68" s="686"/>
      <c r="E68" s="686"/>
      <c r="F68" s="686"/>
      <c r="G68" s="686"/>
      <c r="H68" s="686"/>
      <c r="I68" s="686"/>
      <c r="J68" s="686"/>
      <c r="K68" s="686"/>
      <c r="L68" s="686"/>
      <c r="M68" s="686"/>
      <c r="N68" s="686"/>
      <c r="O68" s="686"/>
      <c r="P68" s="686"/>
      <c r="Q68" s="686"/>
      <c r="R68" s="686"/>
      <c r="S68" s="686"/>
      <c r="T68" s="686"/>
    </row>
    <row r="69" spans="1:20" x14ac:dyDescent="0.2">
      <c r="A69" s="686"/>
      <c r="B69" s="686"/>
      <c r="C69" s="686"/>
      <c r="D69" s="686"/>
      <c r="E69" s="686"/>
      <c r="F69" s="686"/>
      <c r="G69" s="686"/>
      <c r="H69" s="686"/>
      <c r="I69" s="686"/>
      <c r="J69" s="686"/>
      <c r="K69" s="686"/>
      <c r="L69" s="686"/>
      <c r="M69" s="686"/>
      <c r="N69" s="686"/>
      <c r="O69" s="686"/>
      <c r="P69" s="686"/>
      <c r="Q69" s="686"/>
      <c r="R69" s="686"/>
      <c r="S69" s="686"/>
      <c r="T69" s="686"/>
    </row>
    <row r="70" spans="1:20" x14ac:dyDescent="0.2">
      <c r="A70" s="686"/>
      <c r="B70" s="686"/>
      <c r="C70" s="686"/>
      <c r="D70" s="686"/>
      <c r="E70" s="686"/>
      <c r="F70" s="686"/>
      <c r="G70" s="686"/>
      <c r="H70" s="686"/>
      <c r="I70" s="686"/>
      <c r="J70" s="686"/>
      <c r="K70" s="686"/>
      <c r="L70" s="686"/>
      <c r="M70" s="686"/>
      <c r="N70" s="686"/>
      <c r="O70" s="686"/>
      <c r="P70" s="686"/>
      <c r="Q70" s="686"/>
      <c r="R70" s="686"/>
      <c r="S70" s="686"/>
      <c r="T70" s="686"/>
    </row>
    <row r="71" spans="1:20" x14ac:dyDescent="0.2">
      <c r="A71" s="686"/>
      <c r="B71" s="686"/>
      <c r="C71" s="686"/>
      <c r="D71" s="686"/>
      <c r="E71" s="686"/>
      <c r="F71" s="686"/>
      <c r="G71" s="686"/>
      <c r="H71" s="686"/>
      <c r="I71" s="686"/>
      <c r="J71" s="686"/>
      <c r="K71" s="686"/>
      <c r="L71" s="686"/>
      <c r="M71" s="686"/>
      <c r="N71" s="686"/>
      <c r="O71" s="686"/>
      <c r="P71" s="686"/>
      <c r="Q71" s="686"/>
      <c r="R71" s="686"/>
      <c r="S71" s="686"/>
      <c r="T71" s="686"/>
    </row>
    <row r="72" spans="1:20" x14ac:dyDescent="0.2">
      <c r="A72" s="686"/>
      <c r="B72" s="686"/>
      <c r="C72" s="686"/>
      <c r="D72" s="686"/>
      <c r="E72" s="686"/>
      <c r="F72" s="686"/>
      <c r="G72" s="686"/>
      <c r="H72" s="686"/>
      <c r="I72" s="686"/>
      <c r="J72" s="686"/>
      <c r="K72" s="686"/>
      <c r="L72" s="686"/>
      <c r="M72" s="686"/>
      <c r="N72" s="686"/>
      <c r="O72" s="686"/>
      <c r="P72" s="686"/>
      <c r="Q72" s="686"/>
      <c r="R72" s="686"/>
      <c r="S72" s="686"/>
      <c r="T72" s="686"/>
    </row>
    <row r="73" spans="1:20" x14ac:dyDescent="0.2">
      <c r="A73" s="686"/>
      <c r="B73" s="686"/>
      <c r="C73" s="686"/>
      <c r="D73" s="686"/>
      <c r="E73" s="686"/>
      <c r="F73" s="686"/>
      <c r="G73" s="686"/>
      <c r="H73" s="686"/>
      <c r="I73" s="686"/>
      <c r="J73" s="686"/>
      <c r="K73" s="686"/>
      <c r="L73" s="686"/>
      <c r="M73" s="686"/>
      <c r="N73" s="686"/>
      <c r="O73" s="686"/>
      <c r="P73" s="686"/>
      <c r="Q73" s="686"/>
      <c r="R73" s="686"/>
      <c r="S73" s="686"/>
      <c r="T73" s="686"/>
    </row>
    <row r="74" spans="1:20" x14ac:dyDescent="0.2">
      <c r="A74" s="686"/>
      <c r="B74" s="686"/>
      <c r="C74" s="686"/>
      <c r="D74" s="686"/>
      <c r="E74" s="686"/>
      <c r="F74" s="686"/>
      <c r="G74" s="686"/>
      <c r="H74" s="686"/>
      <c r="I74" s="686"/>
      <c r="J74" s="686"/>
      <c r="K74" s="686"/>
      <c r="L74" s="686"/>
      <c r="M74" s="686"/>
      <c r="N74" s="686"/>
      <c r="O74" s="686"/>
      <c r="P74" s="686"/>
      <c r="Q74" s="686"/>
      <c r="R74" s="686"/>
      <c r="S74" s="686"/>
      <c r="T74" s="686"/>
    </row>
    <row r="75" spans="1:20" x14ac:dyDescent="0.2">
      <c r="A75" s="686"/>
      <c r="B75" s="686"/>
      <c r="C75" s="686"/>
      <c r="D75" s="686"/>
      <c r="E75" s="686"/>
      <c r="F75" s="686"/>
      <c r="G75" s="686"/>
      <c r="H75" s="686"/>
      <c r="I75" s="686"/>
      <c r="J75" s="686"/>
      <c r="K75" s="686"/>
      <c r="L75" s="686"/>
      <c r="M75" s="686"/>
      <c r="N75" s="686"/>
      <c r="O75" s="686"/>
      <c r="P75" s="686"/>
      <c r="Q75" s="686"/>
      <c r="R75" s="686"/>
      <c r="S75" s="686"/>
      <c r="T75" s="686"/>
    </row>
    <row r="76" spans="1:20" x14ac:dyDescent="0.2">
      <c r="A76" s="686"/>
      <c r="B76" s="686"/>
      <c r="C76" s="686"/>
      <c r="D76" s="686"/>
      <c r="E76" s="686"/>
      <c r="F76" s="686"/>
      <c r="G76" s="686"/>
      <c r="H76" s="686"/>
      <c r="I76" s="686"/>
      <c r="J76" s="686"/>
      <c r="K76" s="686"/>
      <c r="L76" s="686"/>
      <c r="M76" s="686"/>
      <c r="N76" s="686"/>
      <c r="O76" s="686"/>
      <c r="P76" s="686"/>
      <c r="Q76" s="686"/>
      <c r="R76" s="686"/>
      <c r="S76" s="686"/>
      <c r="T76" s="686"/>
    </row>
    <row r="77" spans="1:20" x14ac:dyDescent="0.2">
      <c r="A77" s="686"/>
      <c r="B77" s="686"/>
      <c r="C77" s="686"/>
      <c r="D77" s="686"/>
      <c r="E77" s="686"/>
      <c r="F77" s="686"/>
      <c r="G77" s="686"/>
      <c r="H77" s="686"/>
      <c r="I77" s="686"/>
      <c r="J77" s="686"/>
      <c r="K77" s="686"/>
      <c r="L77" s="686"/>
      <c r="M77" s="686"/>
      <c r="N77" s="686"/>
      <c r="O77" s="686"/>
      <c r="P77" s="686"/>
      <c r="Q77" s="686"/>
      <c r="R77" s="686"/>
      <c r="S77" s="686"/>
      <c r="T77" s="686"/>
    </row>
    <row r="78" spans="1:20" x14ac:dyDescent="0.2">
      <c r="A78" s="686"/>
      <c r="B78" s="686"/>
      <c r="C78" s="686"/>
      <c r="D78" s="686"/>
      <c r="E78" s="686"/>
      <c r="F78" s="686"/>
      <c r="G78" s="686"/>
      <c r="H78" s="686"/>
      <c r="I78" s="686"/>
      <c r="J78" s="686"/>
      <c r="K78" s="686"/>
      <c r="L78" s="686"/>
      <c r="M78" s="686"/>
      <c r="N78" s="686"/>
      <c r="O78" s="686"/>
      <c r="P78" s="686"/>
      <c r="Q78" s="686"/>
      <c r="R78" s="686"/>
      <c r="S78" s="686"/>
      <c r="T78" s="686"/>
    </row>
    <row r="79" spans="1:20" x14ac:dyDescent="0.2">
      <c r="A79" s="686"/>
      <c r="B79" s="686"/>
      <c r="C79" s="686"/>
      <c r="D79" s="686"/>
      <c r="E79" s="686"/>
      <c r="F79" s="686"/>
      <c r="G79" s="686"/>
      <c r="H79" s="686"/>
      <c r="I79" s="686"/>
      <c r="J79" s="686"/>
      <c r="K79" s="686"/>
      <c r="L79" s="686"/>
      <c r="M79" s="686"/>
      <c r="N79" s="686"/>
      <c r="O79" s="686"/>
      <c r="P79" s="686"/>
      <c r="Q79" s="686"/>
      <c r="R79" s="686"/>
      <c r="S79" s="686"/>
      <c r="T79" s="686"/>
    </row>
    <row r="80" spans="1:20" x14ac:dyDescent="0.2">
      <c r="A80" s="686"/>
      <c r="B80" s="686"/>
      <c r="C80" s="686"/>
      <c r="D80" s="686"/>
      <c r="E80" s="686"/>
      <c r="F80" s="686"/>
      <c r="G80" s="686"/>
      <c r="H80" s="686"/>
      <c r="I80" s="686"/>
      <c r="J80" s="686"/>
      <c r="K80" s="686"/>
      <c r="L80" s="686"/>
      <c r="M80" s="686"/>
      <c r="N80" s="686"/>
      <c r="O80" s="686"/>
      <c r="P80" s="686"/>
      <c r="Q80" s="686"/>
      <c r="R80" s="686"/>
      <c r="S80" s="686"/>
      <c r="T80" s="686"/>
    </row>
    <row r="81" spans="1:20" x14ac:dyDescent="0.2">
      <c r="A81" s="686"/>
      <c r="B81" s="686"/>
      <c r="C81" s="686"/>
      <c r="D81" s="686"/>
      <c r="E81" s="686"/>
      <c r="F81" s="686"/>
      <c r="G81" s="686"/>
      <c r="H81" s="686"/>
      <c r="I81" s="686"/>
      <c r="J81" s="686"/>
      <c r="K81" s="686"/>
      <c r="L81" s="686"/>
      <c r="M81" s="686"/>
      <c r="N81" s="686"/>
      <c r="O81" s="686"/>
      <c r="P81" s="686"/>
      <c r="Q81" s="686"/>
      <c r="R81" s="686"/>
      <c r="S81" s="686"/>
      <c r="T81" s="686"/>
    </row>
    <row r="82" spans="1:20" x14ac:dyDescent="0.2">
      <c r="A82" s="686"/>
      <c r="B82" s="686"/>
      <c r="C82" s="686"/>
      <c r="D82" s="686"/>
      <c r="E82" s="686"/>
      <c r="F82" s="686"/>
      <c r="G82" s="686"/>
      <c r="H82" s="686"/>
      <c r="I82" s="686"/>
      <c r="J82" s="686"/>
      <c r="K82" s="686"/>
      <c r="L82" s="686"/>
      <c r="M82" s="686"/>
      <c r="N82" s="686"/>
      <c r="O82" s="686"/>
      <c r="P82" s="686"/>
      <c r="Q82" s="686"/>
      <c r="R82" s="686"/>
      <c r="S82" s="686"/>
      <c r="T82" s="686"/>
    </row>
    <row r="83" spans="1:20" x14ac:dyDescent="0.2">
      <c r="A83" s="686"/>
      <c r="B83" s="686"/>
      <c r="C83" s="686"/>
      <c r="D83" s="686"/>
      <c r="E83" s="686"/>
      <c r="F83" s="686"/>
      <c r="G83" s="686"/>
      <c r="H83" s="686"/>
      <c r="I83" s="686"/>
      <c r="J83" s="686"/>
      <c r="K83" s="686"/>
      <c r="L83" s="686"/>
      <c r="M83" s="686"/>
      <c r="N83" s="686"/>
      <c r="O83" s="686"/>
      <c r="P83" s="686"/>
      <c r="Q83" s="686"/>
      <c r="R83" s="686"/>
      <c r="S83" s="686"/>
      <c r="T83" s="686"/>
    </row>
    <row r="84" spans="1:20" x14ac:dyDescent="0.2">
      <c r="A84" s="686"/>
      <c r="B84" s="686"/>
      <c r="C84" s="686"/>
      <c r="D84" s="686"/>
      <c r="E84" s="686"/>
      <c r="F84" s="686"/>
      <c r="G84" s="686"/>
      <c r="H84" s="686"/>
      <c r="I84" s="686"/>
      <c r="J84" s="686"/>
      <c r="K84" s="686"/>
      <c r="L84" s="686"/>
      <c r="M84" s="686"/>
      <c r="N84" s="686"/>
      <c r="O84" s="686"/>
      <c r="P84" s="686"/>
      <c r="Q84" s="686"/>
      <c r="R84" s="686"/>
      <c r="S84" s="686"/>
      <c r="T84" s="686"/>
    </row>
    <row r="85" spans="1:20" x14ac:dyDescent="0.2">
      <c r="A85" s="686"/>
      <c r="B85" s="686"/>
      <c r="C85" s="686"/>
      <c r="D85" s="686"/>
      <c r="E85" s="686"/>
      <c r="F85" s="686"/>
      <c r="G85" s="686"/>
      <c r="H85" s="686"/>
      <c r="I85" s="686"/>
      <c r="J85" s="686"/>
      <c r="K85" s="686"/>
      <c r="L85" s="686"/>
      <c r="M85" s="686"/>
      <c r="N85" s="686"/>
      <c r="O85" s="686"/>
      <c r="P85" s="686"/>
      <c r="Q85" s="686"/>
      <c r="R85" s="686"/>
      <c r="S85" s="686"/>
      <c r="T85" s="686"/>
    </row>
    <row r="86" spans="1:20" x14ac:dyDescent="0.2">
      <c r="A86" s="686"/>
      <c r="B86" s="686"/>
      <c r="C86" s="686"/>
      <c r="D86" s="686"/>
      <c r="E86" s="686"/>
      <c r="F86" s="686"/>
      <c r="G86" s="686"/>
      <c r="H86" s="686"/>
      <c r="I86" s="686"/>
      <c r="J86" s="686"/>
      <c r="K86" s="686"/>
      <c r="L86" s="686"/>
      <c r="M86" s="686"/>
      <c r="N86" s="686"/>
      <c r="O86" s="686"/>
      <c r="P86" s="686"/>
      <c r="Q86" s="686"/>
      <c r="R86" s="686"/>
      <c r="S86" s="686"/>
      <c r="T86" s="686"/>
    </row>
    <row r="87" spans="1:20" x14ac:dyDescent="0.2">
      <c r="A87" s="686"/>
      <c r="B87" s="686"/>
      <c r="C87" s="686"/>
      <c r="D87" s="686"/>
      <c r="E87" s="686"/>
      <c r="F87" s="686"/>
      <c r="G87" s="686"/>
      <c r="H87" s="686"/>
      <c r="I87" s="686"/>
      <c r="J87" s="686"/>
      <c r="K87" s="686"/>
      <c r="L87" s="686"/>
      <c r="M87" s="686"/>
      <c r="N87" s="686"/>
      <c r="O87" s="686"/>
      <c r="P87" s="686"/>
      <c r="Q87" s="686"/>
      <c r="R87" s="686"/>
      <c r="S87" s="686"/>
      <c r="T87" s="686"/>
    </row>
    <row r="88" spans="1:20" x14ac:dyDescent="0.2">
      <c r="A88" s="686"/>
      <c r="B88" s="686"/>
      <c r="C88" s="686"/>
      <c r="D88" s="686"/>
      <c r="E88" s="686"/>
      <c r="F88" s="686"/>
      <c r="G88" s="686"/>
      <c r="H88" s="686"/>
      <c r="I88" s="686"/>
      <c r="J88" s="686"/>
      <c r="K88" s="686"/>
      <c r="L88" s="686"/>
      <c r="M88" s="686"/>
      <c r="N88" s="686"/>
      <c r="O88" s="686"/>
      <c r="P88" s="686"/>
      <c r="Q88" s="686"/>
      <c r="R88" s="686"/>
      <c r="S88" s="686"/>
      <c r="T88" s="686"/>
    </row>
    <row r="89" spans="1:20" x14ac:dyDescent="0.2">
      <c r="A89" s="686"/>
      <c r="B89" s="686"/>
      <c r="C89" s="686"/>
      <c r="D89" s="686"/>
      <c r="E89" s="686"/>
      <c r="F89" s="686"/>
      <c r="G89" s="686"/>
      <c r="H89" s="686"/>
      <c r="I89" s="686"/>
      <c r="J89" s="686"/>
      <c r="K89" s="686"/>
      <c r="L89" s="686"/>
      <c r="M89" s="686"/>
      <c r="N89" s="686"/>
      <c r="O89" s="686"/>
      <c r="P89" s="686"/>
      <c r="Q89" s="686"/>
      <c r="R89" s="686"/>
      <c r="S89" s="686"/>
      <c r="T89" s="686"/>
    </row>
    <row r="90" spans="1:20" x14ac:dyDescent="0.2">
      <c r="A90" s="686"/>
      <c r="B90" s="686"/>
      <c r="C90" s="686"/>
      <c r="D90" s="686"/>
      <c r="E90" s="686"/>
      <c r="F90" s="686"/>
      <c r="G90" s="686"/>
      <c r="H90" s="686"/>
      <c r="I90" s="686"/>
      <c r="J90" s="686"/>
      <c r="K90" s="686"/>
      <c r="L90" s="686"/>
      <c r="M90" s="686"/>
      <c r="N90" s="686"/>
      <c r="O90" s="686"/>
      <c r="P90" s="686"/>
      <c r="Q90" s="686"/>
      <c r="R90" s="686"/>
      <c r="S90" s="686"/>
      <c r="T90" s="686"/>
    </row>
    <row r="91" spans="1:20" x14ac:dyDescent="0.2">
      <c r="A91" s="686"/>
      <c r="B91" s="686"/>
      <c r="C91" s="686"/>
      <c r="D91" s="686"/>
      <c r="E91" s="686"/>
      <c r="F91" s="686"/>
      <c r="G91" s="686"/>
      <c r="H91" s="686"/>
      <c r="I91" s="686"/>
      <c r="J91" s="686"/>
      <c r="K91" s="686"/>
      <c r="L91" s="686"/>
      <c r="M91" s="686"/>
      <c r="N91" s="686"/>
      <c r="O91" s="686"/>
      <c r="P91" s="686"/>
      <c r="Q91" s="686"/>
      <c r="R91" s="686"/>
      <c r="S91" s="686"/>
      <c r="T91" s="686"/>
    </row>
    <row r="92" spans="1:20" x14ac:dyDescent="0.2">
      <c r="A92" s="686"/>
      <c r="B92" s="686"/>
      <c r="C92" s="686"/>
      <c r="D92" s="686"/>
      <c r="E92" s="686"/>
      <c r="F92" s="686"/>
      <c r="G92" s="686"/>
      <c r="H92" s="686"/>
      <c r="I92" s="686"/>
      <c r="J92" s="686"/>
      <c r="K92" s="686"/>
      <c r="L92" s="686"/>
      <c r="M92" s="686"/>
      <c r="N92" s="686"/>
      <c r="O92" s="686"/>
      <c r="P92" s="686"/>
      <c r="Q92" s="686"/>
      <c r="R92" s="686"/>
      <c r="S92" s="686"/>
      <c r="T92" s="686"/>
    </row>
    <row r="93" spans="1:20" x14ac:dyDescent="0.2">
      <c r="A93" s="686"/>
      <c r="B93" s="686"/>
      <c r="C93" s="686"/>
      <c r="D93" s="686"/>
      <c r="E93" s="686"/>
      <c r="F93" s="686"/>
      <c r="G93" s="686"/>
      <c r="H93" s="686"/>
      <c r="I93" s="686"/>
      <c r="J93" s="686"/>
      <c r="K93" s="686"/>
      <c r="L93" s="686"/>
      <c r="M93" s="686"/>
      <c r="N93" s="686"/>
      <c r="O93" s="686"/>
      <c r="P93" s="686"/>
      <c r="Q93" s="686"/>
      <c r="R93" s="686"/>
      <c r="S93" s="686"/>
      <c r="T93" s="686"/>
    </row>
    <row r="94" spans="1:20" x14ac:dyDescent="0.2">
      <c r="A94" s="686"/>
      <c r="B94" s="686"/>
      <c r="C94" s="686"/>
      <c r="D94" s="686"/>
      <c r="E94" s="686"/>
      <c r="F94" s="686"/>
      <c r="G94" s="686"/>
      <c r="H94" s="686"/>
      <c r="I94" s="686"/>
      <c r="J94" s="686"/>
      <c r="K94" s="686"/>
      <c r="L94" s="686"/>
      <c r="M94" s="686"/>
      <c r="N94" s="686"/>
      <c r="O94" s="686"/>
      <c r="P94" s="686"/>
      <c r="Q94" s="686"/>
      <c r="R94" s="686"/>
      <c r="S94" s="686"/>
      <c r="T94" s="686"/>
    </row>
    <row r="95" spans="1:20" x14ac:dyDescent="0.2">
      <c r="A95" s="686"/>
      <c r="B95" s="686"/>
      <c r="C95" s="686"/>
      <c r="D95" s="686"/>
      <c r="E95" s="686"/>
      <c r="F95" s="686"/>
      <c r="G95" s="686"/>
      <c r="H95" s="686"/>
      <c r="I95" s="686"/>
      <c r="J95" s="686"/>
      <c r="K95" s="686"/>
      <c r="L95" s="686"/>
      <c r="M95" s="686"/>
      <c r="N95" s="686"/>
      <c r="O95" s="686"/>
      <c r="P95" s="686"/>
      <c r="Q95" s="686"/>
      <c r="R95" s="686"/>
      <c r="S95" s="686"/>
      <c r="T95" s="686"/>
    </row>
    <row r="96" spans="1:20" x14ac:dyDescent="0.2">
      <c r="A96" s="686"/>
      <c r="B96" s="686"/>
      <c r="C96" s="686"/>
      <c r="D96" s="686"/>
      <c r="E96" s="686"/>
      <c r="F96" s="686"/>
      <c r="G96" s="686"/>
      <c r="H96" s="686"/>
      <c r="I96" s="686"/>
      <c r="J96" s="686"/>
      <c r="K96" s="686"/>
      <c r="L96" s="686"/>
      <c r="M96" s="686"/>
      <c r="N96" s="686"/>
      <c r="O96" s="686"/>
      <c r="P96" s="686"/>
      <c r="Q96" s="686"/>
      <c r="R96" s="686"/>
      <c r="S96" s="686"/>
      <c r="T96" s="686"/>
    </row>
    <row r="97" spans="1:20" x14ac:dyDescent="0.2">
      <c r="A97" s="686"/>
      <c r="B97" s="686"/>
      <c r="C97" s="686"/>
      <c r="D97" s="686"/>
      <c r="E97" s="686"/>
      <c r="F97" s="686"/>
      <c r="G97" s="686"/>
      <c r="H97" s="686"/>
      <c r="I97" s="686"/>
      <c r="J97" s="686"/>
      <c r="K97" s="686"/>
      <c r="L97" s="686"/>
      <c r="M97" s="686"/>
      <c r="N97" s="686"/>
      <c r="O97" s="686"/>
      <c r="P97" s="686"/>
      <c r="Q97" s="686"/>
      <c r="R97" s="686"/>
      <c r="S97" s="686"/>
      <c r="T97" s="686"/>
    </row>
    <row r="98" spans="1:20" x14ac:dyDescent="0.2">
      <c r="A98" s="686"/>
      <c r="B98" s="686"/>
      <c r="C98" s="686"/>
      <c r="D98" s="686"/>
      <c r="E98" s="686"/>
      <c r="F98" s="686"/>
      <c r="G98" s="686"/>
      <c r="H98" s="686"/>
      <c r="I98" s="686"/>
      <c r="J98" s="686"/>
      <c r="K98" s="686"/>
      <c r="L98" s="686"/>
      <c r="M98" s="686"/>
      <c r="N98" s="686"/>
      <c r="O98" s="686"/>
      <c r="P98" s="686"/>
      <c r="Q98" s="686"/>
      <c r="R98" s="686"/>
      <c r="S98" s="686"/>
      <c r="T98" s="686"/>
    </row>
    <row r="99" spans="1:20" x14ac:dyDescent="0.2">
      <c r="A99" s="686"/>
      <c r="B99" s="686"/>
      <c r="C99" s="686"/>
      <c r="D99" s="686"/>
      <c r="E99" s="686"/>
      <c r="F99" s="686"/>
      <c r="G99" s="686"/>
      <c r="H99" s="686"/>
      <c r="I99" s="686"/>
      <c r="J99" s="686"/>
      <c r="K99" s="686"/>
      <c r="L99" s="686"/>
      <c r="M99" s="686"/>
      <c r="N99" s="686"/>
      <c r="O99" s="686"/>
      <c r="P99" s="686"/>
      <c r="Q99" s="686"/>
      <c r="R99" s="686"/>
      <c r="S99" s="686"/>
      <c r="T99" s="686"/>
    </row>
    <row r="100" spans="1:20" x14ac:dyDescent="0.2">
      <c r="A100" s="686"/>
      <c r="B100" s="686"/>
      <c r="C100" s="686"/>
      <c r="D100" s="686"/>
      <c r="E100" s="686"/>
      <c r="F100" s="686"/>
      <c r="G100" s="686"/>
      <c r="H100" s="686"/>
      <c r="I100" s="686"/>
      <c r="J100" s="686"/>
      <c r="K100" s="686"/>
      <c r="L100" s="686"/>
      <c r="M100" s="686"/>
      <c r="N100" s="686"/>
      <c r="O100" s="686"/>
      <c r="P100" s="686"/>
      <c r="Q100" s="686"/>
      <c r="R100" s="686"/>
      <c r="S100" s="686"/>
      <c r="T100" s="686"/>
    </row>
    <row r="101" spans="1:20" x14ac:dyDescent="0.2">
      <c r="A101" s="686"/>
      <c r="B101" s="686"/>
      <c r="C101" s="686"/>
      <c r="D101" s="686"/>
      <c r="E101" s="686"/>
      <c r="F101" s="686"/>
      <c r="G101" s="686"/>
      <c r="H101" s="686"/>
      <c r="I101" s="686"/>
      <c r="J101" s="686"/>
      <c r="K101" s="686"/>
      <c r="L101" s="686"/>
      <c r="M101" s="686"/>
      <c r="N101" s="686"/>
      <c r="O101" s="686"/>
      <c r="P101" s="686"/>
      <c r="Q101" s="686"/>
      <c r="R101" s="686"/>
      <c r="S101" s="686"/>
      <c r="T101" s="686"/>
    </row>
    <row r="102" spans="1:20" x14ac:dyDescent="0.2">
      <c r="A102" s="686"/>
      <c r="B102" s="686"/>
      <c r="C102" s="686"/>
      <c r="D102" s="686"/>
      <c r="E102" s="686"/>
      <c r="F102" s="686"/>
      <c r="G102" s="686"/>
      <c r="H102" s="686"/>
      <c r="I102" s="686"/>
      <c r="J102" s="686"/>
      <c r="K102" s="686"/>
      <c r="L102" s="686"/>
      <c r="M102" s="686"/>
      <c r="N102" s="686"/>
      <c r="O102" s="686"/>
      <c r="P102" s="686"/>
      <c r="Q102" s="686"/>
      <c r="R102" s="686"/>
      <c r="S102" s="686"/>
      <c r="T102" s="686"/>
    </row>
    <row r="103" spans="1:20" x14ac:dyDescent="0.2">
      <c r="A103" s="686"/>
      <c r="B103" s="686"/>
      <c r="C103" s="686"/>
      <c r="D103" s="686"/>
      <c r="E103" s="686"/>
      <c r="F103" s="686"/>
      <c r="G103" s="686"/>
      <c r="H103" s="686"/>
      <c r="I103" s="686"/>
      <c r="J103" s="686"/>
      <c r="K103" s="686"/>
      <c r="L103" s="686"/>
      <c r="M103" s="686"/>
      <c r="N103" s="686"/>
      <c r="O103" s="686"/>
      <c r="P103" s="686"/>
      <c r="Q103" s="686"/>
      <c r="R103" s="686"/>
      <c r="S103" s="686"/>
      <c r="T103" s="686"/>
    </row>
    <row r="104" spans="1:20" x14ac:dyDescent="0.2">
      <c r="A104" s="686"/>
      <c r="B104" s="686"/>
      <c r="C104" s="686"/>
      <c r="D104" s="686"/>
      <c r="E104" s="686"/>
      <c r="F104" s="686"/>
      <c r="G104" s="686"/>
      <c r="H104" s="686"/>
      <c r="I104" s="686"/>
      <c r="J104" s="686"/>
      <c r="K104" s="686"/>
      <c r="L104" s="686"/>
      <c r="M104" s="686"/>
      <c r="N104" s="686"/>
      <c r="O104" s="686"/>
      <c r="P104" s="686"/>
      <c r="Q104" s="686"/>
      <c r="R104" s="686"/>
      <c r="S104" s="686"/>
      <c r="T104" s="686"/>
    </row>
    <row r="105" spans="1:20" x14ac:dyDescent="0.2">
      <c r="A105" s="686"/>
      <c r="B105" s="686"/>
      <c r="C105" s="686"/>
      <c r="D105" s="686"/>
      <c r="E105" s="686"/>
      <c r="F105" s="686"/>
      <c r="G105" s="686"/>
      <c r="H105" s="686"/>
      <c r="I105" s="686"/>
      <c r="J105" s="686"/>
      <c r="K105" s="686"/>
      <c r="L105" s="686"/>
      <c r="M105" s="686"/>
      <c r="N105" s="686"/>
      <c r="O105" s="686"/>
      <c r="P105" s="686"/>
      <c r="Q105" s="686"/>
      <c r="R105" s="686"/>
      <c r="S105" s="686"/>
      <c r="T105" s="686"/>
    </row>
    <row r="106" spans="1:20" x14ac:dyDescent="0.2">
      <c r="A106" s="686"/>
      <c r="B106" s="686"/>
      <c r="C106" s="686"/>
      <c r="D106" s="686"/>
      <c r="E106" s="686"/>
      <c r="F106" s="686"/>
      <c r="G106" s="686"/>
      <c r="H106" s="686"/>
      <c r="I106" s="686"/>
      <c r="J106" s="686"/>
      <c r="K106" s="686"/>
      <c r="L106" s="686"/>
      <c r="M106" s="686"/>
      <c r="N106" s="686"/>
      <c r="O106" s="686"/>
      <c r="P106" s="686"/>
      <c r="Q106" s="686"/>
      <c r="R106" s="686"/>
      <c r="S106" s="686"/>
      <c r="T106" s="686"/>
    </row>
    <row r="107" spans="1:20" x14ac:dyDescent="0.2">
      <c r="A107" s="686"/>
      <c r="B107" s="686"/>
      <c r="C107" s="686"/>
      <c r="D107" s="686"/>
      <c r="E107" s="686"/>
      <c r="F107" s="686"/>
      <c r="G107" s="686"/>
      <c r="H107" s="686"/>
      <c r="I107" s="686"/>
      <c r="J107" s="686"/>
      <c r="K107" s="686"/>
      <c r="L107" s="686"/>
      <c r="M107" s="686"/>
      <c r="N107" s="686"/>
      <c r="O107" s="686"/>
      <c r="P107" s="686"/>
      <c r="Q107" s="686"/>
      <c r="R107" s="686"/>
      <c r="S107" s="686"/>
      <c r="T107" s="686"/>
    </row>
    <row r="108" spans="1:20" x14ac:dyDescent="0.2">
      <c r="A108" s="686"/>
      <c r="B108" s="686"/>
      <c r="C108" s="686"/>
      <c r="D108" s="686"/>
      <c r="E108" s="686"/>
      <c r="F108" s="686"/>
      <c r="G108" s="686"/>
      <c r="H108" s="686"/>
      <c r="I108" s="686"/>
      <c r="J108" s="686"/>
      <c r="K108" s="686"/>
      <c r="L108" s="686"/>
      <c r="M108" s="686"/>
      <c r="N108" s="686"/>
      <c r="O108" s="686"/>
      <c r="P108" s="686"/>
      <c r="Q108" s="686"/>
      <c r="R108" s="686"/>
      <c r="S108" s="686"/>
      <c r="T108" s="686"/>
    </row>
    <row r="109" spans="1:20" x14ac:dyDescent="0.2">
      <c r="A109" s="686"/>
      <c r="B109" s="686"/>
      <c r="C109" s="686"/>
      <c r="D109" s="686"/>
      <c r="E109" s="686"/>
      <c r="F109" s="686"/>
      <c r="G109" s="686"/>
      <c r="H109" s="686"/>
      <c r="I109" s="686"/>
      <c r="J109" s="686"/>
      <c r="K109" s="686"/>
      <c r="L109" s="686"/>
      <c r="M109" s="686"/>
      <c r="N109" s="686"/>
      <c r="O109" s="686"/>
      <c r="P109" s="686"/>
      <c r="Q109" s="686"/>
      <c r="R109" s="686"/>
      <c r="S109" s="686"/>
      <c r="T109" s="686"/>
    </row>
    <row r="110" spans="1:20" x14ac:dyDescent="0.2">
      <c r="A110" s="686"/>
      <c r="B110" s="686"/>
      <c r="C110" s="686"/>
      <c r="D110" s="686"/>
      <c r="E110" s="686"/>
      <c r="F110" s="686"/>
      <c r="G110" s="686"/>
      <c r="H110" s="686"/>
      <c r="I110" s="686"/>
      <c r="J110" s="686"/>
      <c r="K110" s="686"/>
      <c r="L110" s="686"/>
      <c r="M110" s="686"/>
      <c r="N110" s="686"/>
      <c r="O110" s="686"/>
      <c r="P110" s="686"/>
      <c r="Q110" s="686"/>
      <c r="R110" s="686"/>
      <c r="S110" s="686"/>
      <c r="T110" s="686"/>
    </row>
    <row r="111" spans="1:20" x14ac:dyDescent="0.2">
      <c r="A111" s="686"/>
      <c r="B111" s="686"/>
      <c r="C111" s="686"/>
      <c r="D111" s="686"/>
      <c r="E111" s="686"/>
      <c r="F111" s="686"/>
      <c r="G111" s="686"/>
      <c r="H111" s="686"/>
      <c r="I111" s="686"/>
      <c r="J111" s="686"/>
      <c r="K111" s="686"/>
      <c r="L111" s="686"/>
      <c r="M111" s="686"/>
      <c r="N111" s="686"/>
      <c r="O111" s="686"/>
      <c r="P111" s="686"/>
      <c r="Q111" s="686"/>
      <c r="R111" s="686"/>
      <c r="S111" s="686"/>
      <c r="T111" s="686"/>
    </row>
    <row r="112" spans="1:20" x14ac:dyDescent="0.2">
      <c r="A112" s="686"/>
      <c r="B112" s="686"/>
      <c r="C112" s="686"/>
      <c r="D112" s="686"/>
      <c r="E112" s="686"/>
      <c r="F112" s="686"/>
      <c r="G112" s="686"/>
      <c r="H112" s="686"/>
      <c r="I112" s="686"/>
      <c r="J112" s="686"/>
      <c r="K112" s="686"/>
      <c r="L112" s="686"/>
      <c r="M112" s="686"/>
      <c r="N112" s="686"/>
      <c r="O112" s="686"/>
      <c r="P112" s="686"/>
      <c r="Q112" s="686"/>
      <c r="R112" s="686"/>
      <c r="S112" s="686"/>
      <c r="T112" s="686"/>
    </row>
    <row r="113" spans="1:20" x14ac:dyDescent="0.2">
      <c r="A113" s="686"/>
      <c r="B113" s="686"/>
      <c r="C113" s="686"/>
      <c r="D113" s="686"/>
      <c r="E113" s="686"/>
      <c r="F113" s="686"/>
      <c r="G113" s="686"/>
      <c r="H113" s="686"/>
      <c r="I113" s="686"/>
      <c r="J113" s="686"/>
      <c r="K113" s="686"/>
      <c r="L113" s="686"/>
      <c r="M113" s="686"/>
      <c r="N113" s="686"/>
      <c r="O113" s="686"/>
      <c r="P113" s="686"/>
      <c r="Q113" s="686"/>
      <c r="R113" s="686"/>
      <c r="S113" s="686"/>
      <c r="T113" s="686"/>
    </row>
    <row r="114" spans="1:20" x14ac:dyDescent="0.2">
      <c r="A114" s="686"/>
      <c r="B114" s="686"/>
      <c r="C114" s="686"/>
      <c r="D114" s="686"/>
      <c r="E114" s="686"/>
      <c r="F114" s="686"/>
      <c r="G114" s="686"/>
      <c r="H114" s="686"/>
      <c r="I114" s="686"/>
      <c r="J114" s="686"/>
      <c r="K114" s="686"/>
      <c r="L114" s="686"/>
      <c r="M114" s="686"/>
      <c r="N114" s="686"/>
      <c r="O114" s="686"/>
      <c r="P114" s="686"/>
      <c r="Q114" s="686"/>
      <c r="R114" s="686"/>
      <c r="S114" s="686"/>
      <c r="T114" s="686"/>
    </row>
    <row r="115" spans="1:20" x14ac:dyDescent="0.2">
      <c r="A115" s="686"/>
      <c r="B115" s="686"/>
      <c r="C115" s="686"/>
      <c r="D115" s="686"/>
      <c r="E115" s="686"/>
      <c r="F115" s="686"/>
      <c r="G115" s="686"/>
      <c r="H115" s="686"/>
      <c r="I115" s="686"/>
      <c r="J115" s="686"/>
      <c r="K115" s="686"/>
      <c r="L115" s="686"/>
      <c r="M115" s="686"/>
      <c r="N115" s="686"/>
      <c r="O115" s="686"/>
      <c r="P115" s="686"/>
      <c r="Q115" s="686"/>
      <c r="R115" s="686"/>
      <c r="S115" s="686"/>
      <c r="T115" s="687" t="s">
        <v>593</v>
      </c>
    </row>
    <row r="116" spans="1:20" x14ac:dyDescent="0.2">
      <c r="A116" s="686"/>
      <c r="B116" s="686"/>
      <c r="C116" s="686"/>
      <c r="D116" s="686"/>
      <c r="E116" s="686"/>
      <c r="F116" s="686"/>
      <c r="G116" s="686"/>
      <c r="H116" s="686"/>
      <c r="I116" s="686"/>
      <c r="J116" s="686"/>
      <c r="K116" s="686"/>
      <c r="L116" s="686"/>
      <c r="M116" s="686"/>
      <c r="N116" s="686"/>
      <c r="O116" s="686"/>
      <c r="P116" s="686"/>
      <c r="Q116" s="686"/>
      <c r="R116" s="686"/>
      <c r="S116" s="686"/>
      <c r="T116" s="686"/>
    </row>
    <row r="117" spans="1:20" x14ac:dyDescent="0.2">
      <c r="A117" s="686"/>
      <c r="B117" s="686"/>
      <c r="C117" s="686"/>
      <c r="D117" s="686"/>
      <c r="E117" s="686"/>
      <c r="F117" s="686"/>
      <c r="G117" s="686"/>
      <c r="H117" s="686"/>
      <c r="I117" s="686"/>
      <c r="J117" s="686"/>
      <c r="K117" s="686"/>
      <c r="L117" s="686"/>
      <c r="M117" s="686"/>
      <c r="N117" s="686"/>
      <c r="O117" s="686"/>
      <c r="P117" s="686"/>
      <c r="Q117" s="686"/>
      <c r="R117" s="686"/>
      <c r="S117" s="686"/>
      <c r="T117" s="686"/>
    </row>
    <row r="118" spans="1:20" x14ac:dyDescent="0.2">
      <c r="A118" s="686"/>
      <c r="B118" s="686"/>
      <c r="C118" s="686"/>
      <c r="D118" s="686"/>
      <c r="E118" s="686"/>
      <c r="F118" s="686"/>
      <c r="G118" s="686"/>
      <c r="H118" s="686"/>
      <c r="I118" s="686"/>
      <c r="J118" s="686"/>
      <c r="K118" s="686"/>
      <c r="L118" s="686"/>
      <c r="M118" s="686"/>
      <c r="N118" s="686"/>
      <c r="O118" s="686"/>
      <c r="P118" s="686"/>
      <c r="Q118" s="686"/>
      <c r="R118" s="686"/>
      <c r="S118" s="686"/>
      <c r="T118" s="686"/>
    </row>
    <row r="119" spans="1:20" x14ac:dyDescent="0.2">
      <c r="A119" s="686"/>
      <c r="B119" s="686"/>
      <c r="C119" s="686"/>
      <c r="D119" s="686"/>
      <c r="E119" s="686"/>
      <c r="F119" s="686"/>
      <c r="G119" s="686"/>
      <c r="H119" s="686"/>
      <c r="I119" s="686"/>
      <c r="J119" s="686"/>
      <c r="K119" s="686"/>
      <c r="L119" s="686"/>
      <c r="M119" s="686"/>
      <c r="N119" s="686"/>
      <c r="O119" s="686"/>
      <c r="P119" s="686"/>
      <c r="Q119" s="686"/>
      <c r="R119" s="686"/>
      <c r="S119" s="686"/>
      <c r="T119" s="686"/>
    </row>
    <row r="120" spans="1:20" x14ac:dyDescent="0.2">
      <c r="A120" s="686"/>
      <c r="B120" s="686"/>
      <c r="C120" s="686"/>
      <c r="D120" s="686"/>
      <c r="E120" s="686"/>
      <c r="F120" s="686"/>
      <c r="G120" s="686"/>
      <c r="H120" s="686"/>
      <c r="I120" s="686"/>
      <c r="J120" s="686"/>
      <c r="K120" s="686"/>
      <c r="L120" s="686"/>
      <c r="M120" s="686"/>
      <c r="N120" s="686"/>
      <c r="O120" s="686"/>
      <c r="P120" s="686"/>
      <c r="Q120" s="686"/>
      <c r="R120" s="686"/>
      <c r="S120" s="686"/>
      <c r="T120" s="686"/>
    </row>
    <row r="121" spans="1:20" x14ac:dyDescent="0.2">
      <c r="A121" s="686"/>
      <c r="B121" s="686"/>
      <c r="C121" s="686"/>
      <c r="D121" s="686"/>
      <c r="E121" s="686"/>
      <c r="F121" s="686"/>
      <c r="G121" s="686"/>
      <c r="H121" s="686"/>
      <c r="I121" s="686"/>
      <c r="J121" s="686"/>
      <c r="K121" s="686"/>
      <c r="L121" s="686"/>
      <c r="M121" s="686"/>
      <c r="N121" s="686"/>
      <c r="O121" s="686"/>
      <c r="P121" s="686"/>
      <c r="Q121" s="686"/>
      <c r="R121" s="686"/>
      <c r="S121" s="686"/>
      <c r="T121" s="686"/>
    </row>
    <row r="122" spans="1:20" x14ac:dyDescent="0.2">
      <c r="A122" s="686"/>
      <c r="B122" s="686"/>
      <c r="C122" s="686"/>
      <c r="D122" s="686"/>
      <c r="E122" s="686"/>
      <c r="F122" s="686"/>
      <c r="G122" s="686"/>
      <c r="H122" s="686"/>
      <c r="I122" s="686"/>
      <c r="J122" s="686"/>
      <c r="K122" s="686"/>
      <c r="L122" s="686"/>
      <c r="M122" s="686"/>
      <c r="N122" s="686"/>
      <c r="O122" s="686"/>
      <c r="P122" s="686"/>
      <c r="Q122" s="686"/>
      <c r="R122" s="686"/>
      <c r="S122" s="686"/>
      <c r="T122" s="686"/>
    </row>
    <row r="123" spans="1:20" x14ac:dyDescent="0.2">
      <c r="A123" s="686"/>
      <c r="B123" s="686"/>
      <c r="C123" s="686"/>
      <c r="D123" s="686"/>
      <c r="E123" s="686"/>
      <c r="F123" s="686"/>
      <c r="G123" s="686"/>
      <c r="H123" s="686"/>
      <c r="I123" s="686"/>
      <c r="J123" s="686"/>
      <c r="K123" s="686"/>
      <c r="L123" s="686"/>
      <c r="M123" s="686"/>
      <c r="N123" s="686"/>
      <c r="O123" s="686"/>
      <c r="P123" s="686"/>
      <c r="Q123" s="686"/>
      <c r="R123" s="686"/>
      <c r="S123" s="686"/>
      <c r="T123" s="686"/>
    </row>
    <row r="124" spans="1:20" x14ac:dyDescent="0.2">
      <c r="A124" s="686"/>
      <c r="B124" s="686"/>
      <c r="C124" s="686"/>
      <c r="D124" s="686"/>
      <c r="E124" s="686"/>
      <c r="F124" s="686"/>
      <c r="G124" s="686"/>
      <c r="H124" s="686"/>
      <c r="I124" s="686"/>
      <c r="J124" s="686"/>
      <c r="K124" s="686"/>
      <c r="L124" s="686"/>
      <c r="M124" s="686"/>
      <c r="N124" s="686"/>
      <c r="O124" s="686"/>
      <c r="P124" s="686"/>
      <c r="Q124" s="686"/>
      <c r="R124" s="686"/>
      <c r="S124" s="686"/>
      <c r="T124" s="686"/>
    </row>
    <row r="125" spans="1:20" x14ac:dyDescent="0.2">
      <c r="A125" s="686"/>
      <c r="B125" s="686"/>
      <c r="C125" s="686"/>
      <c r="D125" s="686"/>
      <c r="E125" s="686"/>
      <c r="F125" s="686"/>
      <c r="G125" s="686"/>
      <c r="H125" s="686"/>
      <c r="I125" s="686"/>
      <c r="J125" s="686"/>
      <c r="K125" s="686"/>
      <c r="L125" s="686"/>
      <c r="M125" s="686"/>
      <c r="N125" s="686"/>
      <c r="O125" s="686"/>
      <c r="P125" s="686"/>
      <c r="Q125" s="686"/>
      <c r="R125" s="686"/>
      <c r="S125" s="686"/>
      <c r="T125" s="686"/>
    </row>
    <row r="126" spans="1:20" x14ac:dyDescent="0.2">
      <c r="A126" s="686"/>
      <c r="B126" s="686"/>
      <c r="C126" s="686"/>
      <c r="D126" s="686"/>
      <c r="E126" s="686"/>
      <c r="F126" s="686"/>
      <c r="G126" s="686"/>
      <c r="H126" s="686"/>
      <c r="I126" s="686"/>
      <c r="J126" s="686"/>
      <c r="K126" s="686"/>
      <c r="L126" s="686"/>
      <c r="M126" s="686"/>
      <c r="N126" s="686"/>
      <c r="O126" s="686"/>
      <c r="P126" s="686"/>
      <c r="Q126" s="686"/>
      <c r="R126" s="686"/>
      <c r="S126" s="686"/>
      <c r="T126" s="686"/>
    </row>
    <row r="127" spans="1:20" x14ac:dyDescent="0.2">
      <c r="A127" s="686"/>
      <c r="B127" s="686"/>
      <c r="C127" s="686"/>
      <c r="D127" s="686"/>
      <c r="E127" s="686"/>
      <c r="F127" s="686"/>
      <c r="G127" s="686"/>
      <c r="H127" s="686"/>
      <c r="I127" s="686"/>
      <c r="J127" s="686"/>
      <c r="K127" s="686"/>
      <c r="L127" s="686"/>
      <c r="M127" s="686"/>
      <c r="N127" s="686"/>
      <c r="O127" s="686"/>
      <c r="P127" s="686"/>
      <c r="Q127" s="686"/>
      <c r="R127" s="686"/>
      <c r="S127" s="686"/>
      <c r="T127" s="686"/>
    </row>
    <row r="128" spans="1:20" x14ac:dyDescent="0.2">
      <c r="A128" s="686"/>
      <c r="B128" s="686"/>
      <c r="C128" s="686"/>
      <c r="D128" s="686"/>
      <c r="E128" s="686"/>
      <c r="F128" s="686"/>
      <c r="G128" s="686"/>
      <c r="H128" s="686"/>
      <c r="I128" s="686"/>
      <c r="J128" s="686"/>
      <c r="K128" s="686"/>
      <c r="L128" s="686"/>
      <c r="M128" s="686"/>
      <c r="N128" s="686"/>
      <c r="O128" s="686"/>
      <c r="P128" s="686"/>
      <c r="Q128" s="686"/>
      <c r="R128" s="686"/>
      <c r="S128" s="686"/>
      <c r="T128" s="686"/>
    </row>
    <row r="129" spans="1:20" x14ac:dyDescent="0.2">
      <c r="A129" s="686"/>
      <c r="B129" s="686"/>
      <c r="C129" s="686"/>
      <c r="D129" s="686"/>
      <c r="E129" s="686"/>
      <c r="F129" s="686"/>
      <c r="G129" s="686"/>
      <c r="H129" s="686"/>
      <c r="I129" s="686"/>
      <c r="J129" s="686"/>
      <c r="K129" s="686"/>
      <c r="L129" s="686"/>
      <c r="M129" s="686"/>
      <c r="N129" s="686"/>
      <c r="O129" s="686"/>
      <c r="P129" s="686"/>
      <c r="Q129" s="686"/>
      <c r="R129" s="686"/>
      <c r="S129" s="686"/>
      <c r="T129" s="686"/>
    </row>
    <row r="130" spans="1:20" x14ac:dyDescent="0.2">
      <c r="A130" s="686"/>
      <c r="B130" s="686"/>
      <c r="C130" s="686"/>
      <c r="D130" s="686"/>
      <c r="E130" s="686"/>
      <c r="F130" s="686"/>
      <c r="G130" s="686"/>
      <c r="H130" s="686"/>
      <c r="I130" s="686"/>
      <c r="J130" s="686"/>
      <c r="K130" s="686"/>
      <c r="L130" s="686"/>
      <c r="M130" s="686"/>
      <c r="N130" s="686"/>
      <c r="O130" s="686"/>
      <c r="P130" s="686"/>
      <c r="Q130" s="686"/>
      <c r="R130" s="686"/>
      <c r="S130" s="686"/>
      <c r="T130" s="686"/>
    </row>
    <row r="131" spans="1:20" x14ac:dyDescent="0.2">
      <c r="A131" s="686"/>
      <c r="B131" s="686"/>
      <c r="C131" s="686"/>
      <c r="D131" s="686"/>
      <c r="E131" s="686"/>
      <c r="F131" s="686"/>
      <c r="G131" s="686"/>
      <c r="H131" s="686"/>
      <c r="I131" s="686"/>
      <c r="J131" s="686"/>
      <c r="K131" s="686"/>
      <c r="L131" s="686"/>
      <c r="M131" s="686"/>
      <c r="N131" s="686"/>
      <c r="O131" s="686"/>
      <c r="P131" s="686"/>
      <c r="Q131" s="686"/>
      <c r="R131" s="686"/>
      <c r="S131" s="686"/>
      <c r="T131" s="686"/>
    </row>
    <row r="132" spans="1:20" x14ac:dyDescent="0.2">
      <c r="A132" s="686"/>
      <c r="B132" s="686"/>
      <c r="C132" s="686"/>
      <c r="D132" s="686"/>
      <c r="E132" s="686"/>
      <c r="F132" s="686"/>
      <c r="G132" s="686"/>
      <c r="H132" s="686"/>
      <c r="I132" s="686"/>
      <c r="J132" s="686"/>
      <c r="K132" s="686"/>
      <c r="L132" s="686"/>
      <c r="M132" s="686"/>
      <c r="N132" s="686"/>
      <c r="O132" s="686"/>
      <c r="P132" s="686"/>
      <c r="Q132" s="686"/>
      <c r="R132" s="686"/>
      <c r="S132" s="686"/>
      <c r="T132" s="686"/>
    </row>
    <row r="133" spans="1:20" x14ac:dyDescent="0.2">
      <c r="A133" s="686"/>
      <c r="B133" s="686"/>
      <c r="C133" s="686"/>
      <c r="D133" s="686"/>
      <c r="E133" s="686"/>
      <c r="F133" s="686"/>
      <c r="G133" s="686"/>
      <c r="H133" s="686"/>
      <c r="I133" s="686"/>
      <c r="J133" s="686"/>
      <c r="K133" s="686"/>
      <c r="L133" s="686"/>
      <c r="M133" s="686"/>
      <c r="N133" s="686"/>
      <c r="O133" s="686"/>
      <c r="P133" s="686"/>
      <c r="Q133" s="686"/>
      <c r="R133" s="686"/>
      <c r="S133" s="686"/>
      <c r="T133" s="686"/>
    </row>
    <row r="134" spans="1:20" x14ac:dyDescent="0.2">
      <c r="A134" s="686"/>
      <c r="B134" s="686"/>
      <c r="C134" s="686"/>
      <c r="D134" s="686"/>
      <c r="E134" s="686"/>
      <c r="F134" s="686"/>
      <c r="G134" s="686"/>
      <c r="H134" s="686"/>
      <c r="I134" s="686"/>
      <c r="J134" s="686"/>
      <c r="K134" s="686"/>
      <c r="L134" s="686"/>
      <c r="M134" s="686"/>
      <c r="N134" s="686"/>
      <c r="O134" s="686"/>
      <c r="P134" s="686"/>
      <c r="Q134" s="686"/>
      <c r="R134" s="686"/>
      <c r="S134" s="686"/>
      <c r="T134" s="686"/>
    </row>
    <row r="135" spans="1:20" x14ac:dyDescent="0.2">
      <c r="A135" s="686"/>
      <c r="B135" s="686"/>
      <c r="C135" s="686"/>
      <c r="D135" s="686"/>
      <c r="E135" s="686"/>
      <c r="F135" s="686"/>
      <c r="G135" s="686"/>
      <c r="H135" s="686"/>
      <c r="I135" s="686"/>
      <c r="J135" s="686"/>
      <c r="K135" s="686"/>
      <c r="L135" s="686"/>
      <c r="M135" s="686"/>
      <c r="N135" s="686"/>
      <c r="O135" s="686"/>
      <c r="P135" s="686"/>
      <c r="Q135" s="686"/>
      <c r="R135" s="686"/>
      <c r="S135" s="686"/>
      <c r="T135" s="686"/>
    </row>
    <row r="136" spans="1:20" x14ac:dyDescent="0.2">
      <c r="A136" s="686"/>
      <c r="B136" s="686"/>
      <c r="C136" s="686"/>
      <c r="D136" s="686"/>
      <c r="E136" s="686"/>
      <c r="F136" s="686"/>
      <c r="G136" s="686"/>
      <c r="H136" s="686"/>
      <c r="I136" s="686"/>
      <c r="J136" s="686"/>
      <c r="K136" s="686"/>
      <c r="L136" s="686"/>
      <c r="M136" s="686"/>
      <c r="N136" s="686"/>
      <c r="O136" s="686"/>
      <c r="P136" s="686"/>
      <c r="Q136" s="686"/>
      <c r="R136" s="686"/>
      <c r="S136" s="686"/>
      <c r="T136" s="686"/>
    </row>
    <row r="137" spans="1:20" x14ac:dyDescent="0.2">
      <c r="A137" s="686"/>
      <c r="B137" s="686"/>
      <c r="C137" s="686"/>
      <c r="D137" s="686"/>
      <c r="E137" s="686"/>
      <c r="F137" s="686"/>
      <c r="G137" s="686"/>
      <c r="H137" s="686"/>
      <c r="I137" s="686"/>
      <c r="J137" s="686"/>
      <c r="K137" s="686"/>
      <c r="L137" s="686"/>
      <c r="M137" s="686"/>
      <c r="N137" s="686"/>
      <c r="O137" s="686"/>
      <c r="P137" s="686"/>
      <c r="Q137" s="686"/>
      <c r="R137" s="686"/>
      <c r="S137" s="686"/>
      <c r="T137" s="686"/>
    </row>
    <row r="138" spans="1:20" x14ac:dyDescent="0.2">
      <c r="A138" s="686"/>
      <c r="B138" s="686"/>
      <c r="C138" s="686"/>
      <c r="D138" s="686"/>
      <c r="E138" s="686"/>
      <c r="F138" s="686"/>
      <c r="G138" s="686"/>
      <c r="H138" s="686"/>
      <c r="I138" s="686"/>
      <c r="J138" s="686"/>
      <c r="K138" s="686"/>
      <c r="L138" s="686"/>
      <c r="M138" s="686"/>
      <c r="N138" s="686"/>
      <c r="O138" s="686"/>
      <c r="P138" s="686"/>
      <c r="Q138" s="686"/>
      <c r="R138" s="686"/>
      <c r="S138" s="686"/>
      <c r="T138" s="686"/>
    </row>
    <row r="139" spans="1:20" x14ac:dyDescent="0.2">
      <c r="A139" s="686"/>
      <c r="B139" s="686"/>
      <c r="C139" s="686"/>
      <c r="D139" s="686"/>
      <c r="E139" s="686"/>
      <c r="F139" s="686"/>
      <c r="G139" s="686"/>
      <c r="H139" s="686"/>
      <c r="I139" s="686"/>
      <c r="J139" s="686"/>
      <c r="K139" s="686"/>
      <c r="L139" s="686"/>
      <c r="M139" s="686"/>
      <c r="N139" s="686"/>
      <c r="O139" s="686"/>
      <c r="P139" s="686"/>
      <c r="Q139" s="686"/>
      <c r="R139" s="686"/>
      <c r="S139" s="686"/>
      <c r="T139" s="686"/>
    </row>
    <row r="140" spans="1:20" x14ac:dyDescent="0.2">
      <c r="A140" s="686"/>
      <c r="B140" s="686"/>
      <c r="C140" s="686"/>
      <c r="D140" s="686"/>
      <c r="E140" s="686"/>
      <c r="F140" s="686"/>
      <c r="G140" s="686"/>
      <c r="H140" s="686"/>
      <c r="I140" s="686"/>
      <c r="J140" s="686"/>
      <c r="K140" s="686"/>
      <c r="L140" s="686"/>
      <c r="M140" s="686"/>
      <c r="N140" s="686"/>
      <c r="O140" s="686"/>
      <c r="P140" s="686"/>
      <c r="Q140" s="686"/>
      <c r="R140" s="686"/>
      <c r="S140" s="686"/>
      <c r="T140" s="686"/>
    </row>
    <row r="141" spans="1:20" x14ac:dyDescent="0.2">
      <c r="A141" s="686"/>
      <c r="B141" s="686"/>
      <c r="C141" s="686"/>
      <c r="D141" s="686"/>
      <c r="E141" s="686"/>
      <c r="F141" s="686"/>
      <c r="G141" s="686"/>
      <c r="H141" s="686"/>
      <c r="I141" s="686"/>
      <c r="J141" s="686"/>
      <c r="K141" s="686"/>
      <c r="L141" s="686"/>
      <c r="M141" s="686"/>
      <c r="N141" s="686"/>
      <c r="O141" s="686"/>
      <c r="P141" s="686"/>
      <c r="Q141" s="686"/>
      <c r="R141" s="686"/>
      <c r="S141" s="686"/>
      <c r="T141" s="686"/>
    </row>
    <row r="142" spans="1:20" x14ac:dyDescent="0.2">
      <c r="A142" s="686"/>
      <c r="B142" s="686"/>
      <c r="C142" s="686"/>
      <c r="D142" s="686"/>
      <c r="E142" s="686"/>
      <c r="F142" s="686"/>
      <c r="G142" s="686"/>
      <c r="H142" s="686"/>
      <c r="I142" s="686"/>
      <c r="J142" s="686"/>
      <c r="K142" s="686"/>
      <c r="L142" s="686"/>
      <c r="M142" s="686"/>
      <c r="N142" s="686"/>
      <c r="O142" s="686"/>
      <c r="P142" s="686"/>
      <c r="Q142" s="686"/>
      <c r="R142" s="686"/>
      <c r="S142" s="686"/>
      <c r="T142" s="686"/>
    </row>
    <row r="143" spans="1:20" x14ac:dyDescent="0.2">
      <c r="A143" s="686"/>
      <c r="B143" s="686"/>
      <c r="C143" s="686"/>
      <c r="D143" s="686"/>
      <c r="E143" s="686"/>
      <c r="F143" s="686"/>
      <c r="G143" s="686"/>
      <c r="H143" s="686"/>
      <c r="I143" s="686"/>
      <c r="J143" s="686"/>
      <c r="K143" s="686"/>
      <c r="L143" s="686"/>
      <c r="M143" s="686"/>
      <c r="N143" s="686"/>
      <c r="O143" s="686"/>
      <c r="P143" s="686"/>
      <c r="Q143" s="686"/>
      <c r="R143" s="686"/>
      <c r="S143" s="686"/>
      <c r="T143" s="686"/>
    </row>
    <row r="144" spans="1:20" x14ac:dyDescent="0.2">
      <c r="A144" s="686"/>
      <c r="B144" s="686"/>
      <c r="C144" s="686"/>
      <c r="D144" s="686"/>
      <c r="E144" s="686"/>
      <c r="F144" s="686"/>
      <c r="G144" s="686"/>
      <c r="H144" s="686"/>
      <c r="I144" s="686"/>
      <c r="J144" s="686"/>
      <c r="K144" s="686"/>
      <c r="L144" s="686"/>
      <c r="M144" s="686"/>
      <c r="N144" s="686"/>
      <c r="O144" s="686"/>
      <c r="P144" s="686"/>
      <c r="Q144" s="686"/>
      <c r="R144" s="686"/>
      <c r="S144" s="686"/>
      <c r="T144" s="686"/>
    </row>
    <row r="145" spans="1:20" x14ac:dyDescent="0.2">
      <c r="A145" s="686"/>
      <c r="B145" s="686"/>
      <c r="C145" s="686"/>
      <c r="D145" s="686"/>
      <c r="E145" s="686"/>
      <c r="F145" s="686"/>
      <c r="G145" s="686"/>
      <c r="H145" s="686"/>
      <c r="I145" s="686"/>
      <c r="J145" s="686"/>
      <c r="K145" s="686"/>
      <c r="L145" s="686"/>
      <c r="M145" s="686"/>
      <c r="N145" s="686"/>
      <c r="O145" s="686"/>
      <c r="P145" s="686"/>
      <c r="Q145" s="686"/>
      <c r="R145" s="686"/>
      <c r="S145" s="686"/>
      <c r="T145" s="686"/>
    </row>
    <row r="146" spans="1:20" x14ac:dyDescent="0.2">
      <c r="A146" s="686"/>
      <c r="B146" s="686"/>
      <c r="C146" s="686"/>
      <c r="D146" s="686"/>
      <c r="E146" s="686"/>
      <c r="F146" s="686"/>
      <c r="G146" s="686"/>
      <c r="H146" s="686"/>
      <c r="I146" s="686"/>
      <c r="J146" s="686"/>
      <c r="K146" s="686"/>
      <c r="L146" s="686"/>
      <c r="M146" s="686"/>
      <c r="N146" s="686"/>
      <c r="O146" s="686"/>
      <c r="P146" s="686"/>
      <c r="Q146" s="686"/>
      <c r="R146" s="686"/>
      <c r="S146" s="686"/>
      <c r="T146" s="686"/>
    </row>
    <row r="147" spans="1:20" x14ac:dyDescent="0.2">
      <c r="A147" s="686"/>
      <c r="B147" s="686"/>
      <c r="C147" s="686"/>
      <c r="D147" s="686"/>
      <c r="E147" s="686"/>
      <c r="F147" s="686"/>
      <c r="G147" s="686"/>
      <c r="H147" s="686"/>
      <c r="I147" s="686"/>
      <c r="J147" s="686"/>
      <c r="K147" s="686"/>
      <c r="L147" s="686"/>
      <c r="M147" s="686"/>
      <c r="N147" s="686"/>
      <c r="O147" s="686"/>
      <c r="P147" s="686"/>
      <c r="Q147" s="686"/>
      <c r="R147" s="686"/>
      <c r="S147" s="686"/>
      <c r="T147" s="686"/>
    </row>
    <row r="148" spans="1:20" x14ac:dyDescent="0.2">
      <c r="A148" s="686"/>
      <c r="B148" s="686"/>
      <c r="C148" s="686"/>
      <c r="D148" s="686"/>
      <c r="E148" s="686"/>
      <c r="F148" s="686"/>
      <c r="G148" s="686"/>
      <c r="H148" s="686"/>
      <c r="I148" s="686"/>
      <c r="J148" s="686"/>
      <c r="K148" s="686"/>
      <c r="L148" s="686"/>
      <c r="M148" s="686"/>
      <c r="N148" s="686"/>
      <c r="O148" s="686"/>
      <c r="P148" s="686"/>
      <c r="Q148" s="686"/>
      <c r="R148" s="686"/>
      <c r="S148" s="686"/>
      <c r="T148" s="686"/>
    </row>
    <row r="149" spans="1:20" x14ac:dyDescent="0.2">
      <c r="A149" s="686"/>
      <c r="B149" s="686"/>
      <c r="C149" s="686"/>
      <c r="D149" s="686"/>
      <c r="E149" s="686"/>
      <c r="F149" s="686"/>
      <c r="G149" s="686"/>
      <c r="H149" s="686"/>
      <c r="I149" s="686"/>
      <c r="J149" s="686"/>
      <c r="K149" s="686"/>
      <c r="L149" s="686"/>
      <c r="M149" s="686"/>
      <c r="N149" s="686"/>
      <c r="O149" s="686"/>
      <c r="P149" s="686"/>
      <c r="Q149" s="686"/>
      <c r="R149" s="686"/>
      <c r="S149" s="686"/>
      <c r="T149" s="686"/>
    </row>
    <row r="150" spans="1:20" x14ac:dyDescent="0.2">
      <c r="A150" s="686"/>
      <c r="B150" s="686"/>
      <c r="C150" s="686"/>
      <c r="D150" s="686"/>
      <c r="E150" s="686"/>
      <c r="F150" s="686"/>
      <c r="G150" s="686"/>
      <c r="H150" s="686"/>
      <c r="I150" s="686"/>
      <c r="J150" s="686"/>
      <c r="K150" s="686"/>
      <c r="L150" s="686"/>
      <c r="M150" s="686"/>
      <c r="N150" s="686"/>
      <c r="O150" s="686"/>
      <c r="P150" s="686"/>
      <c r="Q150" s="686"/>
      <c r="R150" s="686"/>
      <c r="S150" s="686"/>
      <c r="T150" s="686"/>
    </row>
    <row r="151" spans="1:20" x14ac:dyDescent="0.2">
      <c r="A151" s="686"/>
      <c r="B151" s="686"/>
      <c r="C151" s="686"/>
      <c r="D151" s="686"/>
      <c r="E151" s="686"/>
      <c r="F151" s="686"/>
      <c r="G151" s="686"/>
      <c r="H151" s="686"/>
      <c r="I151" s="686"/>
      <c r="J151" s="686"/>
      <c r="K151" s="686"/>
      <c r="L151" s="686"/>
      <c r="M151" s="686"/>
      <c r="N151" s="686"/>
      <c r="O151" s="686"/>
      <c r="P151" s="686"/>
      <c r="Q151" s="686"/>
      <c r="R151" s="686"/>
      <c r="S151" s="686"/>
      <c r="T151" s="686"/>
    </row>
    <row r="152" spans="1:20" x14ac:dyDescent="0.2">
      <c r="A152" s="686"/>
      <c r="B152" s="686"/>
      <c r="C152" s="686"/>
      <c r="D152" s="686"/>
      <c r="E152" s="686"/>
      <c r="F152" s="686"/>
      <c r="G152" s="686"/>
      <c r="H152" s="686"/>
      <c r="I152" s="686"/>
      <c r="J152" s="686"/>
      <c r="K152" s="686"/>
      <c r="L152" s="686"/>
      <c r="M152" s="686"/>
      <c r="N152" s="686"/>
      <c r="O152" s="686"/>
      <c r="P152" s="686"/>
      <c r="Q152" s="686"/>
      <c r="R152" s="686"/>
      <c r="S152" s="686"/>
      <c r="T152" s="686"/>
    </row>
    <row r="153" spans="1:20" x14ac:dyDescent="0.2">
      <c r="A153" s="686"/>
      <c r="B153" s="686"/>
      <c r="C153" s="686"/>
      <c r="D153" s="686"/>
      <c r="E153" s="686"/>
      <c r="F153" s="686"/>
      <c r="G153" s="686"/>
      <c r="H153" s="686"/>
      <c r="I153" s="686"/>
      <c r="J153" s="686"/>
      <c r="K153" s="686"/>
      <c r="L153" s="686"/>
      <c r="M153" s="686"/>
      <c r="N153" s="686"/>
      <c r="O153" s="686"/>
      <c r="P153" s="686"/>
      <c r="Q153" s="686"/>
      <c r="R153" s="686"/>
      <c r="S153" s="686"/>
      <c r="T153" s="686"/>
    </row>
    <row r="154" spans="1:20" x14ac:dyDescent="0.2">
      <c r="A154" s="686"/>
      <c r="B154" s="686"/>
      <c r="C154" s="686"/>
      <c r="D154" s="686"/>
      <c r="E154" s="686"/>
      <c r="F154" s="686"/>
      <c r="G154" s="686"/>
      <c r="H154" s="686"/>
      <c r="I154" s="686"/>
      <c r="J154" s="686"/>
      <c r="K154" s="686"/>
      <c r="L154" s="686"/>
      <c r="M154" s="686"/>
      <c r="N154" s="686"/>
      <c r="O154" s="686"/>
      <c r="P154" s="686"/>
      <c r="Q154" s="686"/>
      <c r="R154" s="686"/>
      <c r="S154" s="686"/>
      <c r="T154" s="686"/>
    </row>
    <row r="155" spans="1:20" x14ac:dyDescent="0.2">
      <c r="A155" s="686"/>
      <c r="B155" s="686"/>
      <c r="C155" s="686"/>
      <c r="D155" s="686"/>
      <c r="E155" s="686"/>
      <c r="F155" s="686"/>
      <c r="G155" s="686"/>
      <c r="H155" s="686"/>
      <c r="I155" s="686"/>
      <c r="J155" s="686"/>
      <c r="K155" s="686"/>
      <c r="L155" s="686"/>
      <c r="M155" s="686"/>
      <c r="N155" s="686"/>
      <c r="O155" s="686"/>
      <c r="P155" s="686"/>
      <c r="Q155" s="686"/>
      <c r="R155" s="686"/>
      <c r="S155" s="686"/>
      <c r="T155" s="686"/>
    </row>
    <row r="156" spans="1:20" x14ac:dyDescent="0.2">
      <c r="A156" s="686"/>
      <c r="B156" s="686"/>
      <c r="C156" s="686"/>
      <c r="D156" s="686"/>
      <c r="E156" s="686"/>
      <c r="F156" s="686"/>
      <c r="G156" s="686"/>
      <c r="H156" s="686"/>
      <c r="I156" s="686"/>
      <c r="J156" s="686"/>
      <c r="K156" s="686"/>
      <c r="L156" s="686"/>
      <c r="M156" s="686"/>
      <c r="N156" s="686"/>
      <c r="O156" s="686"/>
      <c r="P156" s="686"/>
      <c r="Q156" s="686"/>
      <c r="R156" s="686"/>
      <c r="S156" s="686"/>
      <c r="T156" s="686"/>
    </row>
    <row r="157" spans="1:20" x14ac:dyDescent="0.2">
      <c r="A157" s="686"/>
      <c r="B157" s="686"/>
      <c r="C157" s="686"/>
      <c r="D157" s="686"/>
      <c r="E157" s="686"/>
      <c r="F157" s="686"/>
      <c r="G157" s="686"/>
      <c r="H157" s="686"/>
      <c r="I157" s="686"/>
      <c r="J157" s="686"/>
      <c r="K157" s="686"/>
      <c r="L157" s="686"/>
      <c r="M157" s="686"/>
      <c r="N157" s="686"/>
      <c r="O157" s="686"/>
      <c r="P157" s="686"/>
      <c r="Q157" s="686"/>
      <c r="R157" s="686"/>
      <c r="S157" s="686"/>
      <c r="T157" s="686"/>
    </row>
    <row r="158" spans="1:20" x14ac:dyDescent="0.2">
      <c r="A158" s="686"/>
      <c r="B158" s="686"/>
      <c r="C158" s="686"/>
      <c r="D158" s="686"/>
      <c r="E158" s="686"/>
      <c r="F158" s="686"/>
      <c r="G158" s="686"/>
      <c r="H158" s="686"/>
      <c r="I158" s="686"/>
      <c r="J158" s="686"/>
      <c r="K158" s="686"/>
      <c r="L158" s="686"/>
      <c r="M158" s="686"/>
      <c r="N158" s="686"/>
      <c r="O158" s="686"/>
      <c r="P158" s="686"/>
      <c r="Q158" s="686"/>
      <c r="R158" s="686"/>
      <c r="S158" s="686"/>
      <c r="T158" s="686"/>
    </row>
    <row r="159" spans="1:20" x14ac:dyDescent="0.2">
      <c r="A159" s="686"/>
      <c r="B159" s="686"/>
      <c r="C159" s="686"/>
      <c r="D159" s="686"/>
      <c r="E159" s="686"/>
      <c r="F159" s="686"/>
      <c r="G159" s="686"/>
      <c r="H159" s="686"/>
      <c r="I159" s="686"/>
      <c r="J159" s="686"/>
      <c r="K159" s="686"/>
      <c r="L159" s="686"/>
      <c r="M159" s="686"/>
      <c r="N159" s="686"/>
      <c r="O159" s="686"/>
      <c r="P159" s="686"/>
      <c r="Q159" s="686"/>
      <c r="R159" s="686"/>
      <c r="S159" s="686"/>
      <c r="T159" s="686"/>
    </row>
    <row r="160" spans="1:20" x14ac:dyDescent="0.2">
      <c r="A160" s="686"/>
      <c r="B160" s="686"/>
      <c r="C160" s="686"/>
      <c r="D160" s="686"/>
      <c r="E160" s="686"/>
      <c r="F160" s="686"/>
      <c r="G160" s="686"/>
      <c r="H160" s="686"/>
      <c r="I160" s="686"/>
      <c r="J160" s="686"/>
      <c r="K160" s="686"/>
      <c r="L160" s="686"/>
      <c r="M160" s="686"/>
      <c r="N160" s="686"/>
      <c r="O160" s="686"/>
      <c r="P160" s="686"/>
      <c r="Q160" s="686"/>
      <c r="R160" s="686"/>
      <c r="S160" s="686"/>
      <c r="T160" s="686"/>
    </row>
    <row r="161" spans="1:20" x14ac:dyDescent="0.2">
      <c r="A161" s="686"/>
      <c r="B161" s="686"/>
      <c r="C161" s="686"/>
      <c r="D161" s="686"/>
      <c r="E161" s="686"/>
      <c r="F161" s="686"/>
      <c r="G161" s="686"/>
      <c r="H161" s="686"/>
      <c r="I161" s="686"/>
      <c r="J161" s="686"/>
      <c r="K161" s="686"/>
      <c r="L161" s="686"/>
      <c r="M161" s="686"/>
      <c r="N161" s="686"/>
      <c r="O161" s="686"/>
      <c r="P161" s="686"/>
      <c r="Q161" s="686"/>
      <c r="R161" s="686"/>
      <c r="S161" s="686"/>
      <c r="T161" s="686"/>
    </row>
    <row r="162" spans="1:20" x14ac:dyDescent="0.2">
      <c r="A162" s="686"/>
      <c r="B162" s="686"/>
      <c r="C162" s="686"/>
      <c r="D162" s="686"/>
      <c r="E162" s="686"/>
      <c r="F162" s="686"/>
      <c r="G162" s="686"/>
      <c r="H162" s="686"/>
      <c r="I162" s="686"/>
      <c r="J162" s="686"/>
      <c r="K162" s="686"/>
      <c r="L162" s="686"/>
      <c r="M162" s="686"/>
      <c r="N162" s="686"/>
      <c r="O162" s="686"/>
      <c r="P162" s="686"/>
      <c r="Q162" s="686"/>
      <c r="R162" s="686"/>
      <c r="S162" s="686"/>
      <c r="T162" s="686"/>
    </row>
    <row r="163" spans="1:20" x14ac:dyDescent="0.2">
      <c r="A163" s="686"/>
      <c r="B163" s="686"/>
      <c r="C163" s="686"/>
      <c r="D163" s="686"/>
      <c r="E163" s="686"/>
      <c r="F163" s="686"/>
      <c r="G163" s="686"/>
      <c r="H163" s="686"/>
      <c r="I163" s="686"/>
      <c r="J163" s="686"/>
      <c r="K163" s="686"/>
      <c r="L163" s="686"/>
      <c r="M163" s="686"/>
      <c r="N163" s="686"/>
      <c r="O163" s="686"/>
      <c r="P163" s="686"/>
      <c r="Q163" s="686"/>
      <c r="R163" s="686"/>
      <c r="S163" s="686"/>
      <c r="T163" s="686"/>
    </row>
    <row r="164" spans="1:20" x14ac:dyDescent="0.2">
      <c r="A164" s="686"/>
      <c r="B164" s="686"/>
      <c r="C164" s="686"/>
      <c r="D164" s="686"/>
      <c r="E164" s="686"/>
      <c r="F164" s="686"/>
      <c r="G164" s="686"/>
      <c r="H164" s="686"/>
      <c r="I164" s="686"/>
      <c r="J164" s="686"/>
      <c r="K164" s="686"/>
      <c r="L164" s="686"/>
      <c r="M164" s="686"/>
      <c r="N164" s="686"/>
      <c r="O164" s="686"/>
      <c r="P164" s="686"/>
      <c r="Q164" s="686"/>
      <c r="R164" s="686"/>
      <c r="S164" s="686"/>
      <c r="T164" s="686"/>
    </row>
    <row r="165" spans="1:20" x14ac:dyDescent="0.2">
      <c r="A165" s="686"/>
      <c r="B165" s="686"/>
      <c r="C165" s="686"/>
      <c r="D165" s="686"/>
      <c r="E165" s="686"/>
      <c r="F165" s="686"/>
      <c r="G165" s="686"/>
      <c r="H165" s="686"/>
      <c r="I165" s="686"/>
      <c r="J165" s="686"/>
      <c r="K165" s="686"/>
      <c r="L165" s="686"/>
      <c r="M165" s="686"/>
      <c r="N165" s="686"/>
      <c r="O165" s="686"/>
      <c r="P165" s="686"/>
      <c r="Q165" s="686"/>
      <c r="R165" s="686"/>
      <c r="S165" s="686"/>
      <c r="T165" s="686"/>
    </row>
    <row r="166" spans="1:20" x14ac:dyDescent="0.2">
      <c r="A166" s="686"/>
      <c r="B166" s="686"/>
      <c r="C166" s="686"/>
      <c r="D166" s="686"/>
      <c r="E166" s="686"/>
      <c r="F166" s="686"/>
      <c r="G166" s="686"/>
      <c r="H166" s="686"/>
      <c r="I166" s="686"/>
      <c r="J166" s="686"/>
      <c r="K166" s="686"/>
      <c r="L166" s="686"/>
      <c r="M166" s="686"/>
      <c r="N166" s="686"/>
      <c r="O166" s="686"/>
      <c r="P166" s="686"/>
      <c r="Q166" s="686"/>
      <c r="R166" s="686"/>
      <c r="S166" s="686"/>
      <c r="T166" s="686"/>
    </row>
    <row r="167" spans="1:20" x14ac:dyDescent="0.2">
      <c r="A167" s="686"/>
      <c r="B167" s="686"/>
      <c r="C167" s="686"/>
      <c r="D167" s="686"/>
      <c r="E167" s="686"/>
      <c r="F167" s="686"/>
      <c r="G167" s="686"/>
      <c r="H167" s="686"/>
      <c r="I167" s="686"/>
      <c r="J167" s="686"/>
      <c r="K167" s="686"/>
      <c r="L167" s="686"/>
      <c r="M167" s="686"/>
      <c r="N167" s="686"/>
      <c r="O167" s="686"/>
      <c r="P167" s="686"/>
      <c r="Q167" s="686"/>
      <c r="R167" s="686"/>
      <c r="S167" s="686"/>
      <c r="T167" s="686"/>
    </row>
    <row r="168" spans="1:20" x14ac:dyDescent="0.2">
      <c r="A168" s="686"/>
      <c r="B168" s="686"/>
      <c r="C168" s="686"/>
      <c r="D168" s="686"/>
      <c r="E168" s="686"/>
      <c r="F168" s="686"/>
      <c r="G168" s="686"/>
      <c r="H168" s="686"/>
      <c r="I168" s="686"/>
      <c r="J168" s="686"/>
      <c r="K168" s="686"/>
      <c r="L168" s="686"/>
      <c r="M168" s="686"/>
      <c r="N168" s="686"/>
      <c r="O168" s="686"/>
      <c r="P168" s="686"/>
      <c r="Q168" s="686"/>
      <c r="R168" s="686"/>
      <c r="S168" s="686"/>
      <c r="T168" s="686"/>
    </row>
    <row r="169" spans="1:20" x14ac:dyDescent="0.2">
      <c r="A169" s="686"/>
      <c r="B169" s="686"/>
      <c r="C169" s="686"/>
      <c r="D169" s="686"/>
      <c r="E169" s="686"/>
      <c r="F169" s="686"/>
      <c r="G169" s="686"/>
      <c r="H169" s="686"/>
      <c r="I169" s="686"/>
      <c r="J169" s="686"/>
      <c r="K169" s="686"/>
      <c r="L169" s="686"/>
      <c r="M169" s="686"/>
      <c r="N169" s="686"/>
      <c r="O169" s="686"/>
      <c r="P169" s="686"/>
      <c r="Q169" s="686"/>
      <c r="R169" s="686"/>
      <c r="S169" s="686"/>
      <c r="T169" s="686"/>
    </row>
    <row r="170" spans="1:20" x14ac:dyDescent="0.2">
      <c r="A170" s="686"/>
      <c r="B170" s="686"/>
      <c r="C170" s="686"/>
      <c r="D170" s="686"/>
      <c r="E170" s="686"/>
      <c r="F170" s="686"/>
      <c r="G170" s="686"/>
      <c r="H170" s="686"/>
      <c r="I170" s="686"/>
      <c r="J170" s="686"/>
      <c r="K170" s="686"/>
      <c r="L170" s="686"/>
      <c r="M170" s="686"/>
      <c r="N170" s="686"/>
      <c r="O170" s="686"/>
      <c r="P170" s="686"/>
      <c r="Q170" s="686"/>
      <c r="R170" s="686"/>
      <c r="S170" s="686"/>
      <c r="T170" s="686"/>
    </row>
    <row r="171" spans="1:20" x14ac:dyDescent="0.2">
      <c r="A171" s="686"/>
      <c r="B171" s="686"/>
      <c r="C171" s="686"/>
      <c r="D171" s="686"/>
      <c r="E171" s="686"/>
      <c r="F171" s="686"/>
      <c r="G171" s="686"/>
      <c r="H171" s="686"/>
      <c r="I171" s="686"/>
      <c r="J171" s="686"/>
      <c r="K171" s="686"/>
      <c r="L171" s="686"/>
      <c r="M171" s="686"/>
      <c r="N171" s="686"/>
      <c r="O171" s="686"/>
      <c r="P171" s="686"/>
      <c r="Q171" s="686"/>
      <c r="R171" s="686"/>
      <c r="S171" s="686"/>
      <c r="T171" s="686"/>
    </row>
    <row r="172" spans="1:20" x14ac:dyDescent="0.2">
      <c r="A172" s="686"/>
      <c r="B172" s="686"/>
      <c r="C172" s="686"/>
      <c r="D172" s="686"/>
      <c r="E172" s="686"/>
      <c r="F172" s="686"/>
      <c r="G172" s="686"/>
      <c r="H172" s="686"/>
      <c r="I172" s="686"/>
      <c r="J172" s="686"/>
      <c r="K172" s="686"/>
      <c r="L172" s="686"/>
      <c r="M172" s="686"/>
      <c r="N172" s="686"/>
      <c r="O172" s="686"/>
      <c r="P172" s="686"/>
      <c r="Q172" s="686"/>
      <c r="R172" s="686"/>
      <c r="S172" s="686"/>
      <c r="T172" s="686"/>
    </row>
    <row r="173" spans="1:20" x14ac:dyDescent="0.2">
      <c r="A173" s="686"/>
      <c r="B173" s="686"/>
      <c r="C173" s="686"/>
      <c r="D173" s="686"/>
      <c r="E173" s="686"/>
      <c r="F173" s="686"/>
      <c r="G173" s="686"/>
      <c r="H173" s="686"/>
      <c r="I173" s="686"/>
      <c r="J173" s="686"/>
      <c r="K173" s="686"/>
      <c r="L173" s="686"/>
      <c r="M173" s="686"/>
      <c r="N173" s="686"/>
      <c r="O173" s="686"/>
      <c r="P173" s="686"/>
      <c r="Q173" s="686"/>
      <c r="R173" s="686"/>
      <c r="S173" s="686"/>
      <c r="T173" s="686"/>
    </row>
    <row r="174" spans="1:20" x14ac:dyDescent="0.2">
      <c r="A174" s="686"/>
      <c r="B174" s="686"/>
      <c r="C174" s="686"/>
      <c r="D174" s="686"/>
      <c r="E174" s="686"/>
      <c r="F174" s="686"/>
      <c r="G174" s="686"/>
      <c r="H174" s="686"/>
      <c r="I174" s="686"/>
      <c r="J174" s="686"/>
      <c r="K174" s="686"/>
      <c r="L174" s="686"/>
      <c r="M174" s="686"/>
      <c r="N174" s="686"/>
      <c r="O174" s="686"/>
      <c r="P174" s="686"/>
      <c r="Q174" s="686"/>
      <c r="R174" s="686"/>
      <c r="S174" s="686"/>
      <c r="T174" s="686"/>
    </row>
    <row r="175" spans="1:20" x14ac:dyDescent="0.2">
      <c r="A175" s="686"/>
      <c r="B175" s="686"/>
      <c r="C175" s="686"/>
      <c r="D175" s="686"/>
      <c r="E175" s="686"/>
      <c r="F175" s="686"/>
      <c r="G175" s="686"/>
      <c r="H175" s="686"/>
      <c r="I175" s="686"/>
      <c r="J175" s="686"/>
      <c r="K175" s="686"/>
      <c r="L175" s="686"/>
      <c r="M175" s="686"/>
      <c r="N175" s="686"/>
      <c r="O175" s="686"/>
      <c r="P175" s="686"/>
      <c r="Q175" s="686"/>
      <c r="R175" s="686"/>
      <c r="S175" s="686"/>
      <c r="T175" s="686"/>
    </row>
    <row r="176" spans="1:20" x14ac:dyDescent="0.2">
      <c r="A176" s="686"/>
      <c r="B176" s="686"/>
      <c r="C176" s="686"/>
      <c r="D176" s="686"/>
      <c r="E176" s="686"/>
      <c r="F176" s="686"/>
      <c r="G176" s="686"/>
      <c r="H176" s="686"/>
      <c r="I176" s="686"/>
      <c r="J176" s="686"/>
      <c r="K176" s="686"/>
      <c r="L176" s="686"/>
      <c r="M176" s="686"/>
      <c r="N176" s="686"/>
      <c r="O176" s="686"/>
      <c r="P176" s="686"/>
      <c r="Q176" s="686"/>
      <c r="R176" s="686"/>
      <c r="S176" s="686"/>
      <c r="T176" s="686"/>
    </row>
    <row r="177" spans="1:20" x14ac:dyDescent="0.2">
      <c r="A177" s="686"/>
      <c r="B177" s="686"/>
      <c r="C177" s="686"/>
      <c r="D177" s="686"/>
      <c r="E177" s="686"/>
      <c r="F177" s="686"/>
      <c r="G177" s="686"/>
      <c r="H177" s="686"/>
      <c r="I177" s="686"/>
      <c r="J177" s="686"/>
      <c r="K177" s="686"/>
      <c r="L177" s="686"/>
      <c r="M177" s="686"/>
      <c r="N177" s="686"/>
      <c r="O177" s="686"/>
      <c r="P177" s="686"/>
      <c r="Q177" s="686"/>
      <c r="R177" s="686"/>
      <c r="S177" s="686"/>
      <c r="T177" s="687" t="s">
        <v>594</v>
      </c>
    </row>
    <row r="178" spans="1:20" x14ac:dyDescent="0.2">
      <c r="A178" s="686"/>
      <c r="B178" s="686"/>
      <c r="C178" s="686"/>
      <c r="D178" s="686"/>
      <c r="E178" s="686"/>
      <c r="F178" s="686"/>
      <c r="G178" s="686"/>
      <c r="H178" s="686"/>
      <c r="I178" s="686"/>
      <c r="J178" s="686"/>
      <c r="K178" s="686"/>
      <c r="L178" s="686"/>
      <c r="M178" s="686"/>
      <c r="N178" s="686"/>
      <c r="O178" s="686"/>
      <c r="P178" s="686"/>
      <c r="Q178" s="686"/>
      <c r="R178" s="686"/>
      <c r="S178" s="686"/>
      <c r="T178" s="686"/>
    </row>
    <row r="179" spans="1:20" x14ac:dyDescent="0.2">
      <c r="A179" s="686"/>
      <c r="B179" s="686"/>
      <c r="C179" s="686"/>
      <c r="D179" s="686"/>
      <c r="E179" s="686"/>
      <c r="F179" s="686"/>
      <c r="G179" s="686"/>
      <c r="H179" s="686"/>
      <c r="I179" s="686"/>
      <c r="J179" s="686"/>
      <c r="K179" s="686"/>
      <c r="L179" s="686"/>
      <c r="M179" s="686"/>
      <c r="N179" s="686"/>
      <c r="O179" s="686"/>
      <c r="P179" s="686"/>
      <c r="Q179" s="686"/>
      <c r="R179" s="686"/>
      <c r="S179" s="686"/>
      <c r="T179" s="686"/>
    </row>
    <row r="180" spans="1:20" x14ac:dyDescent="0.2">
      <c r="A180" s="686"/>
      <c r="B180" s="686"/>
      <c r="C180" s="686"/>
      <c r="D180" s="686"/>
      <c r="E180" s="686"/>
      <c r="F180" s="686"/>
      <c r="G180" s="686"/>
      <c r="H180" s="686"/>
      <c r="I180" s="686"/>
      <c r="J180" s="686"/>
      <c r="K180" s="686"/>
      <c r="L180" s="686"/>
      <c r="M180" s="686"/>
      <c r="N180" s="686"/>
      <c r="O180" s="686"/>
      <c r="P180" s="686"/>
      <c r="Q180" s="686"/>
      <c r="R180" s="686"/>
      <c r="S180" s="686"/>
      <c r="T180" s="686"/>
    </row>
    <row r="181" spans="1:20" x14ac:dyDescent="0.2">
      <c r="A181" s="686"/>
      <c r="B181" s="686"/>
      <c r="C181" s="686"/>
      <c r="D181" s="686"/>
      <c r="E181" s="686"/>
      <c r="F181" s="686"/>
      <c r="G181" s="686"/>
      <c r="H181" s="686"/>
      <c r="I181" s="686"/>
      <c r="J181" s="686"/>
      <c r="K181" s="686"/>
      <c r="L181" s="686"/>
      <c r="M181" s="686"/>
      <c r="N181" s="686"/>
      <c r="O181" s="686"/>
      <c r="P181" s="686"/>
      <c r="Q181" s="686"/>
      <c r="R181" s="686"/>
      <c r="S181" s="686"/>
      <c r="T181" s="686"/>
    </row>
    <row r="182" spans="1:20" x14ac:dyDescent="0.2">
      <c r="A182" s="686"/>
      <c r="B182" s="686"/>
      <c r="C182" s="686"/>
      <c r="D182" s="686"/>
      <c r="E182" s="686"/>
      <c r="F182" s="686"/>
      <c r="G182" s="686"/>
      <c r="H182" s="686"/>
      <c r="I182" s="686"/>
      <c r="J182" s="686"/>
      <c r="K182" s="686"/>
      <c r="L182" s="686"/>
      <c r="M182" s="686"/>
      <c r="N182" s="686"/>
      <c r="O182" s="686"/>
      <c r="P182" s="686"/>
      <c r="Q182" s="686"/>
      <c r="R182" s="686"/>
      <c r="S182" s="686"/>
      <c r="T182" s="686"/>
    </row>
    <row r="183" spans="1:20" x14ac:dyDescent="0.2">
      <c r="A183" s="686"/>
      <c r="B183" s="686"/>
      <c r="C183" s="686"/>
      <c r="D183" s="686"/>
      <c r="E183" s="686"/>
      <c r="F183" s="686"/>
      <c r="G183" s="686"/>
      <c r="H183" s="686"/>
      <c r="I183" s="686"/>
      <c r="J183" s="686"/>
      <c r="K183" s="686"/>
      <c r="L183" s="686"/>
      <c r="M183" s="686"/>
      <c r="N183" s="686"/>
      <c r="O183" s="686"/>
      <c r="P183" s="686"/>
      <c r="Q183" s="686"/>
      <c r="R183" s="686"/>
      <c r="S183" s="686"/>
      <c r="T183" s="686"/>
    </row>
    <row r="184" spans="1:20" x14ac:dyDescent="0.2">
      <c r="A184" s="686"/>
      <c r="B184" s="686"/>
      <c r="C184" s="686"/>
      <c r="D184" s="686"/>
      <c r="E184" s="686"/>
      <c r="F184" s="686"/>
      <c r="G184" s="686"/>
      <c r="H184" s="686"/>
      <c r="I184" s="686"/>
      <c r="J184" s="686"/>
      <c r="K184" s="686"/>
      <c r="L184" s="686"/>
      <c r="M184" s="686"/>
      <c r="N184" s="686"/>
      <c r="O184" s="686"/>
      <c r="P184" s="686"/>
      <c r="Q184" s="686"/>
      <c r="R184" s="686"/>
      <c r="S184" s="686"/>
      <c r="T184" s="686"/>
    </row>
    <row r="185" spans="1:20" x14ac:dyDescent="0.2">
      <c r="A185" s="686"/>
      <c r="B185" s="686"/>
      <c r="C185" s="686"/>
      <c r="D185" s="686"/>
      <c r="E185" s="686"/>
      <c r="F185" s="686"/>
      <c r="G185" s="686"/>
      <c r="H185" s="686"/>
      <c r="I185" s="686"/>
      <c r="J185" s="686"/>
      <c r="K185" s="686"/>
      <c r="L185" s="686"/>
      <c r="M185" s="686"/>
      <c r="N185" s="686"/>
      <c r="O185" s="686"/>
      <c r="P185" s="686"/>
      <c r="Q185" s="686"/>
      <c r="R185" s="686"/>
      <c r="S185" s="686"/>
      <c r="T185" s="686"/>
    </row>
    <row r="186" spans="1:20" x14ac:dyDescent="0.2">
      <c r="A186" s="686"/>
      <c r="B186" s="686"/>
      <c r="C186" s="686"/>
      <c r="D186" s="686"/>
      <c r="E186" s="686"/>
      <c r="F186" s="686"/>
      <c r="G186" s="686"/>
      <c r="H186" s="686"/>
      <c r="I186" s="686"/>
      <c r="J186" s="686"/>
      <c r="K186" s="686"/>
      <c r="L186" s="686"/>
      <c r="M186" s="686"/>
      <c r="N186" s="686"/>
      <c r="O186" s="686"/>
      <c r="P186" s="686"/>
      <c r="Q186" s="686"/>
      <c r="R186" s="686"/>
      <c r="S186" s="686"/>
      <c r="T186" s="686"/>
    </row>
    <row r="187" spans="1:20" x14ac:dyDescent="0.2">
      <c r="A187" s="686"/>
      <c r="B187" s="686"/>
      <c r="C187" s="686"/>
      <c r="D187" s="686"/>
      <c r="E187" s="686"/>
      <c r="F187" s="686"/>
      <c r="G187" s="686"/>
      <c r="H187" s="686"/>
      <c r="I187" s="686"/>
      <c r="J187" s="686"/>
      <c r="K187" s="686"/>
      <c r="L187" s="686"/>
      <c r="M187" s="686"/>
      <c r="N187" s="686"/>
      <c r="O187" s="686"/>
      <c r="P187" s="686"/>
      <c r="Q187" s="686"/>
      <c r="R187" s="686"/>
      <c r="S187" s="686"/>
      <c r="T187" s="686"/>
    </row>
    <row r="188" spans="1:20" x14ac:dyDescent="0.2">
      <c r="A188" s="686"/>
      <c r="B188" s="686"/>
      <c r="C188" s="686"/>
      <c r="D188" s="686"/>
      <c r="E188" s="686"/>
      <c r="F188" s="686"/>
      <c r="G188" s="686"/>
      <c r="H188" s="686"/>
      <c r="I188" s="686"/>
      <c r="J188" s="686"/>
      <c r="K188" s="686"/>
      <c r="L188" s="686"/>
      <c r="M188" s="686"/>
      <c r="N188" s="686"/>
      <c r="O188" s="686"/>
      <c r="P188" s="686"/>
      <c r="Q188" s="686"/>
      <c r="R188" s="686"/>
      <c r="S188" s="686"/>
      <c r="T188" s="686"/>
    </row>
    <row r="189" spans="1:20" x14ac:dyDescent="0.2">
      <c r="A189" s="686"/>
      <c r="B189" s="686"/>
      <c r="C189" s="686"/>
      <c r="D189" s="686"/>
      <c r="E189" s="686"/>
      <c r="F189" s="686"/>
      <c r="G189" s="686"/>
      <c r="H189" s="686"/>
      <c r="I189" s="686"/>
      <c r="J189" s="686"/>
      <c r="K189" s="686"/>
      <c r="L189" s="686"/>
      <c r="M189" s="686"/>
      <c r="N189" s="686"/>
      <c r="O189" s="686"/>
      <c r="P189" s="686"/>
      <c r="Q189" s="686"/>
      <c r="R189" s="686"/>
      <c r="S189" s="686"/>
      <c r="T189" s="686"/>
    </row>
    <row r="190" spans="1:20" x14ac:dyDescent="0.2">
      <c r="A190" s="686"/>
      <c r="B190" s="686"/>
      <c r="C190" s="686"/>
      <c r="D190" s="686"/>
      <c r="E190" s="686"/>
      <c r="F190" s="686"/>
      <c r="G190" s="686"/>
      <c r="H190" s="686"/>
      <c r="I190" s="686"/>
      <c r="J190" s="686"/>
      <c r="K190" s="686"/>
      <c r="L190" s="686"/>
      <c r="M190" s="686"/>
      <c r="N190" s="686"/>
      <c r="O190" s="686"/>
      <c r="P190" s="686"/>
      <c r="Q190" s="686"/>
      <c r="R190" s="686"/>
      <c r="S190" s="686"/>
      <c r="T190" s="686"/>
    </row>
    <row r="191" spans="1:20" x14ac:dyDescent="0.2">
      <c r="A191" s="686"/>
      <c r="B191" s="686"/>
      <c r="C191" s="686"/>
      <c r="D191" s="686"/>
      <c r="E191" s="686"/>
      <c r="F191" s="686"/>
      <c r="G191" s="686"/>
      <c r="H191" s="686"/>
      <c r="I191" s="686"/>
      <c r="J191" s="686"/>
      <c r="K191" s="686"/>
      <c r="L191" s="686"/>
      <c r="M191" s="686"/>
      <c r="N191" s="686"/>
      <c r="O191" s="686"/>
      <c r="P191" s="686"/>
      <c r="Q191" s="686"/>
      <c r="R191" s="686"/>
      <c r="S191" s="686"/>
      <c r="T191" s="686"/>
    </row>
    <row r="192" spans="1:20" x14ac:dyDescent="0.2">
      <c r="A192" s="686"/>
      <c r="B192" s="686"/>
      <c r="C192" s="686"/>
      <c r="D192" s="686"/>
      <c r="E192" s="686"/>
      <c r="F192" s="686"/>
      <c r="G192" s="686"/>
      <c r="H192" s="686"/>
      <c r="I192" s="686"/>
      <c r="J192" s="686"/>
      <c r="K192" s="686"/>
      <c r="L192" s="686"/>
      <c r="M192" s="686"/>
      <c r="N192" s="686"/>
      <c r="O192" s="686"/>
      <c r="P192" s="686"/>
      <c r="Q192" s="686"/>
      <c r="R192" s="686"/>
      <c r="S192" s="686"/>
      <c r="T192" s="686"/>
    </row>
    <row r="193" spans="1:20" x14ac:dyDescent="0.2">
      <c r="A193" s="686"/>
      <c r="B193" s="686"/>
      <c r="C193" s="686"/>
      <c r="D193" s="686"/>
      <c r="E193" s="686"/>
      <c r="F193" s="686"/>
      <c r="G193" s="686"/>
      <c r="H193" s="686"/>
      <c r="I193" s="686"/>
      <c r="J193" s="686"/>
      <c r="K193" s="686"/>
      <c r="L193" s="686"/>
      <c r="M193" s="686"/>
      <c r="N193" s="686"/>
      <c r="O193" s="686"/>
      <c r="P193" s="686"/>
      <c r="Q193" s="686"/>
      <c r="R193" s="686"/>
      <c r="S193" s="686"/>
      <c r="T193" s="686"/>
    </row>
    <row r="194" spans="1:20" x14ac:dyDescent="0.2">
      <c r="A194" s="686"/>
      <c r="B194" s="686"/>
      <c r="C194" s="686"/>
      <c r="D194" s="686"/>
      <c r="E194" s="686"/>
      <c r="F194" s="686"/>
      <c r="G194" s="686"/>
      <c r="H194" s="686"/>
      <c r="I194" s="686"/>
      <c r="J194" s="686"/>
      <c r="K194" s="686"/>
      <c r="L194" s="686"/>
      <c r="M194" s="686"/>
      <c r="N194" s="686"/>
      <c r="O194" s="686"/>
      <c r="P194" s="686"/>
      <c r="Q194" s="686"/>
      <c r="R194" s="686"/>
      <c r="S194" s="686"/>
      <c r="T194" s="686"/>
    </row>
    <row r="195" spans="1:20" x14ac:dyDescent="0.2">
      <c r="A195" s="686"/>
      <c r="B195" s="686"/>
      <c r="C195" s="686"/>
      <c r="D195" s="686"/>
      <c r="E195" s="686"/>
      <c r="F195" s="686"/>
      <c r="G195" s="686"/>
      <c r="H195" s="686"/>
      <c r="I195" s="686"/>
      <c r="J195" s="686"/>
      <c r="K195" s="686"/>
      <c r="L195" s="686"/>
      <c r="M195" s="686"/>
      <c r="N195" s="686"/>
      <c r="O195" s="686"/>
      <c r="P195" s="686"/>
      <c r="Q195" s="686"/>
      <c r="R195" s="686"/>
      <c r="S195" s="686"/>
      <c r="T195" s="686"/>
    </row>
    <row r="196" spans="1:20" x14ac:dyDescent="0.2">
      <c r="A196" s="686"/>
      <c r="B196" s="686"/>
      <c r="C196" s="686"/>
      <c r="D196" s="686"/>
      <c r="E196" s="686"/>
      <c r="F196" s="686"/>
      <c r="G196" s="686"/>
      <c r="H196" s="686"/>
      <c r="I196" s="686"/>
      <c r="J196" s="686"/>
      <c r="K196" s="686"/>
      <c r="L196" s="686"/>
      <c r="M196" s="686"/>
      <c r="N196" s="686"/>
      <c r="O196" s="686"/>
      <c r="P196" s="686"/>
      <c r="Q196" s="686"/>
      <c r="R196" s="686"/>
      <c r="S196" s="686"/>
      <c r="T196" s="686"/>
    </row>
    <row r="197" spans="1:20" x14ac:dyDescent="0.2">
      <c r="A197" s="686"/>
      <c r="B197" s="686"/>
      <c r="C197" s="686"/>
      <c r="D197" s="686"/>
      <c r="E197" s="686"/>
      <c r="F197" s="686"/>
      <c r="G197" s="686"/>
      <c r="H197" s="686"/>
      <c r="I197" s="686"/>
      <c r="J197" s="686"/>
      <c r="K197" s="686"/>
      <c r="L197" s="686"/>
      <c r="M197" s="686"/>
      <c r="N197" s="686"/>
      <c r="O197" s="686"/>
      <c r="P197" s="686"/>
      <c r="Q197" s="686"/>
      <c r="R197" s="686"/>
      <c r="S197" s="686"/>
      <c r="T197" s="686"/>
    </row>
    <row r="198" spans="1:20" x14ac:dyDescent="0.2">
      <c r="A198" s="686"/>
      <c r="B198" s="686"/>
      <c r="C198" s="686"/>
      <c r="D198" s="686"/>
      <c r="E198" s="686"/>
      <c r="F198" s="686"/>
      <c r="G198" s="686"/>
      <c r="H198" s="686"/>
      <c r="I198" s="686"/>
      <c r="J198" s="686"/>
      <c r="K198" s="686"/>
      <c r="L198" s="686"/>
      <c r="M198" s="686"/>
      <c r="N198" s="686"/>
      <c r="O198" s="686"/>
      <c r="P198" s="686"/>
      <c r="Q198" s="686"/>
      <c r="R198" s="686"/>
      <c r="S198" s="686"/>
      <c r="T198" s="686"/>
    </row>
    <row r="199" spans="1:20" x14ac:dyDescent="0.2">
      <c r="A199" s="686"/>
      <c r="B199" s="686"/>
      <c r="C199" s="686"/>
      <c r="D199" s="686"/>
      <c r="E199" s="686"/>
      <c r="F199" s="686"/>
      <c r="G199" s="686"/>
      <c r="H199" s="686"/>
      <c r="I199" s="686"/>
      <c r="J199" s="686"/>
      <c r="K199" s="686"/>
      <c r="L199" s="686"/>
      <c r="M199" s="686"/>
      <c r="N199" s="686"/>
      <c r="O199" s="686"/>
      <c r="P199" s="686"/>
      <c r="Q199" s="686"/>
      <c r="R199" s="686"/>
      <c r="S199" s="686"/>
      <c r="T199" s="686"/>
    </row>
    <row r="200" spans="1:20" x14ac:dyDescent="0.2">
      <c r="A200" s="686"/>
      <c r="B200" s="686"/>
      <c r="C200" s="686"/>
      <c r="D200" s="686"/>
      <c r="E200" s="686"/>
      <c r="F200" s="686"/>
      <c r="G200" s="686"/>
      <c r="H200" s="686"/>
      <c r="I200" s="686"/>
      <c r="J200" s="686"/>
      <c r="K200" s="686"/>
      <c r="L200" s="686"/>
      <c r="M200" s="686"/>
      <c r="N200" s="686"/>
      <c r="O200" s="686"/>
      <c r="P200" s="686"/>
      <c r="Q200" s="686"/>
      <c r="R200" s="686"/>
      <c r="S200" s="686"/>
      <c r="T200" s="686"/>
    </row>
    <row r="201" spans="1:20" x14ac:dyDescent="0.2">
      <c r="A201" s="686"/>
      <c r="B201" s="686"/>
      <c r="C201" s="686"/>
      <c r="D201" s="686"/>
      <c r="E201" s="686"/>
      <c r="F201" s="686"/>
      <c r="G201" s="686"/>
      <c r="H201" s="686"/>
      <c r="I201" s="686"/>
      <c r="J201" s="686"/>
      <c r="K201" s="686"/>
      <c r="L201" s="686"/>
      <c r="M201" s="686"/>
      <c r="N201" s="686"/>
      <c r="O201" s="686"/>
      <c r="P201" s="686"/>
      <c r="Q201" s="686"/>
      <c r="R201" s="686"/>
      <c r="S201" s="686"/>
      <c r="T201" s="686"/>
    </row>
    <row r="202" spans="1:20" x14ac:dyDescent="0.2">
      <c r="A202" s="686"/>
      <c r="B202" s="686"/>
      <c r="C202" s="686"/>
      <c r="D202" s="686"/>
      <c r="E202" s="686"/>
      <c r="F202" s="686"/>
      <c r="G202" s="686"/>
      <c r="H202" s="686"/>
      <c r="I202" s="686"/>
      <c r="J202" s="686"/>
      <c r="K202" s="686"/>
      <c r="L202" s="686"/>
      <c r="M202" s="686"/>
      <c r="N202" s="686"/>
      <c r="O202" s="686"/>
      <c r="P202" s="686"/>
      <c r="Q202" s="686"/>
      <c r="R202" s="686"/>
      <c r="S202" s="686"/>
      <c r="T202" s="686"/>
    </row>
    <row r="203" spans="1:20" x14ac:dyDescent="0.2">
      <c r="A203" s="686"/>
      <c r="B203" s="686"/>
      <c r="C203" s="686"/>
      <c r="D203" s="686"/>
      <c r="E203" s="686"/>
      <c r="F203" s="686"/>
      <c r="G203" s="686"/>
      <c r="H203" s="686"/>
      <c r="I203" s="686"/>
      <c r="J203" s="686"/>
      <c r="K203" s="686"/>
      <c r="L203" s="686"/>
      <c r="M203" s="686"/>
      <c r="N203" s="686"/>
      <c r="O203" s="686"/>
      <c r="P203" s="686"/>
      <c r="Q203" s="686"/>
      <c r="R203" s="686"/>
      <c r="S203" s="686"/>
      <c r="T203" s="686"/>
    </row>
    <row r="204" spans="1:20" x14ac:dyDescent="0.2">
      <c r="A204" s="686"/>
      <c r="B204" s="686"/>
      <c r="C204" s="686"/>
      <c r="D204" s="686"/>
      <c r="E204" s="686"/>
      <c r="F204" s="686"/>
      <c r="G204" s="686"/>
      <c r="H204" s="686"/>
      <c r="I204" s="686"/>
      <c r="J204" s="686"/>
      <c r="K204" s="686"/>
      <c r="L204" s="686"/>
      <c r="M204" s="686"/>
      <c r="N204" s="686"/>
      <c r="O204" s="686"/>
      <c r="P204" s="686"/>
      <c r="Q204" s="686"/>
      <c r="R204" s="686"/>
      <c r="S204" s="686"/>
      <c r="T204" s="686"/>
    </row>
    <row r="205" spans="1:20" x14ac:dyDescent="0.2">
      <c r="A205" s="686"/>
      <c r="B205" s="686"/>
      <c r="C205" s="686"/>
      <c r="D205" s="686"/>
      <c r="E205" s="686"/>
      <c r="F205" s="686"/>
      <c r="G205" s="686"/>
      <c r="H205" s="686"/>
      <c r="I205" s="686"/>
      <c r="J205" s="686"/>
      <c r="K205" s="686"/>
      <c r="L205" s="686"/>
      <c r="M205" s="686"/>
      <c r="N205" s="686"/>
      <c r="O205" s="686"/>
      <c r="P205" s="686"/>
      <c r="Q205" s="686"/>
      <c r="R205" s="686"/>
      <c r="S205" s="686"/>
      <c r="T205" s="686"/>
    </row>
    <row r="206" spans="1:20" x14ac:dyDescent="0.2">
      <c r="A206" s="686"/>
      <c r="B206" s="686"/>
      <c r="C206" s="686"/>
      <c r="D206" s="686"/>
      <c r="E206" s="686"/>
      <c r="F206" s="686"/>
      <c r="G206" s="686"/>
      <c r="H206" s="686"/>
      <c r="I206" s="686"/>
      <c r="J206" s="686"/>
      <c r="K206" s="686"/>
      <c r="L206" s="686"/>
      <c r="M206" s="686"/>
      <c r="N206" s="686"/>
      <c r="O206" s="686"/>
      <c r="P206" s="686"/>
      <c r="Q206" s="686"/>
      <c r="R206" s="686"/>
      <c r="S206" s="686"/>
      <c r="T206" s="686"/>
    </row>
    <row r="207" spans="1:20" x14ac:dyDescent="0.2">
      <c r="A207" s="686"/>
      <c r="B207" s="686"/>
      <c r="C207" s="686"/>
      <c r="D207" s="686"/>
      <c r="E207" s="686"/>
      <c r="F207" s="686"/>
      <c r="G207" s="686"/>
      <c r="H207" s="686"/>
      <c r="I207" s="686"/>
      <c r="J207" s="686"/>
      <c r="K207" s="686"/>
      <c r="L207" s="686"/>
      <c r="M207" s="686"/>
      <c r="N207" s="686"/>
      <c r="O207" s="686"/>
      <c r="P207" s="686"/>
      <c r="Q207" s="686"/>
      <c r="R207" s="686"/>
      <c r="S207" s="686"/>
      <c r="T207" s="686"/>
    </row>
    <row r="208" spans="1:20" x14ac:dyDescent="0.2">
      <c r="A208" s="686"/>
      <c r="B208" s="686"/>
      <c r="C208" s="686"/>
      <c r="D208" s="686"/>
      <c r="E208" s="686"/>
      <c r="F208" s="686"/>
      <c r="G208" s="686"/>
      <c r="H208" s="686"/>
      <c r="I208" s="686"/>
      <c r="J208" s="686"/>
      <c r="K208" s="686"/>
      <c r="L208" s="686"/>
      <c r="M208" s="686"/>
      <c r="N208" s="686"/>
      <c r="O208" s="686"/>
      <c r="P208" s="686"/>
      <c r="Q208" s="686"/>
      <c r="R208" s="686"/>
      <c r="S208" s="686"/>
      <c r="T208" s="686"/>
    </row>
    <row r="209" spans="1:20" x14ac:dyDescent="0.2">
      <c r="A209" s="686"/>
      <c r="B209" s="686"/>
      <c r="C209" s="686"/>
      <c r="D209" s="686"/>
      <c r="E209" s="686"/>
      <c r="F209" s="686"/>
      <c r="G209" s="686"/>
      <c r="H209" s="686"/>
      <c r="I209" s="686"/>
      <c r="J209" s="686"/>
      <c r="K209" s="686"/>
      <c r="L209" s="686"/>
      <c r="M209" s="686"/>
      <c r="N209" s="686"/>
      <c r="O209" s="686"/>
      <c r="P209" s="686"/>
      <c r="Q209" s="686"/>
      <c r="R209" s="686"/>
      <c r="S209" s="686"/>
      <c r="T209" s="686"/>
    </row>
    <row r="210" spans="1:20" x14ac:dyDescent="0.2">
      <c r="A210" s="686"/>
      <c r="B210" s="686"/>
      <c r="C210" s="686"/>
      <c r="D210" s="686"/>
      <c r="E210" s="686"/>
      <c r="F210" s="686"/>
      <c r="G210" s="686"/>
      <c r="H210" s="686"/>
      <c r="I210" s="686"/>
      <c r="J210" s="686"/>
      <c r="K210" s="686"/>
      <c r="L210" s="686"/>
      <c r="M210" s="686"/>
      <c r="N210" s="686"/>
      <c r="O210" s="686"/>
      <c r="P210" s="686"/>
      <c r="Q210" s="686"/>
      <c r="R210" s="686"/>
      <c r="S210" s="686"/>
      <c r="T210" s="686"/>
    </row>
    <row r="211" spans="1:20" x14ac:dyDescent="0.2">
      <c r="A211" s="686"/>
      <c r="B211" s="686"/>
      <c r="C211" s="686"/>
      <c r="D211" s="686"/>
      <c r="E211" s="686"/>
      <c r="F211" s="686"/>
      <c r="G211" s="686"/>
      <c r="H211" s="686"/>
      <c r="I211" s="686"/>
      <c r="J211" s="686"/>
      <c r="K211" s="686"/>
      <c r="L211" s="686"/>
      <c r="M211" s="686"/>
      <c r="N211" s="686"/>
      <c r="O211" s="686"/>
      <c r="P211" s="686"/>
      <c r="Q211" s="686"/>
      <c r="R211" s="686"/>
      <c r="S211" s="686"/>
      <c r="T211" s="686"/>
    </row>
    <row r="212" spans="1:20" x14ac:dyDescent="0.2">
      <c r="A212" s="686"/>
      <c r="B212" s="686"/>
      <c r="C212" s="686"/>
      <c r="D212" s="686"/>
      <c r="E212" s="686"/>
      <c r="F212" s="686"/>
      <c r="G212" s="686"/>
      <c r="H212" s="686"/>
      <c r="I212" s="686"/>
      <c r="J212" s="686"/>
      <c r="K212" s="686"/>
      <c r="L212" s="686"/>
      <c r="M212" s="686"/>
      <c r="N212" s="686"/>
      <c r="O212" s="686"/>
      <c r="P212" s="686"/>
      <c r="Q212" s="686"/>
      <c r="R212" s="686"/>
      <c r="S212" s="686"/>
      <c r="T212" s="686"/>
    </row>
    <row r="213" spans="1:20" x14ac:dyDescent="0.2">
      <c r="A213" s="686"/>
      <c r="B213" s="686"/>
      <c r="C213" s="686"/>
      <c r="D213" s="686"/>
      <c r="E213" s="686"/>
      <c r="F213" s="686"/>
      <c r="G213" s="686"/>
      <c r="H213" s="686"/>
      <c r="I213" s="686"/>
      <c r="J213" s="686"/>
      <c r="K213" s="686"/>
      <c r="L213" s="686"/>
      <c r="M213" s="686"/>
      <c r="N213" s="686"/>
      <c r="O213" s="686"/>
      <c r="P213" s="686"/>
      <c r="Q213" s="686"/>
      <c r="R213" s="686"/>
      <c r="S213" s="686"/>
      <c r="T213" s="686"/>
    </row>
    <row r="214" spans="1:20" x14ac:dyDescent="0.2">
      <c r="A214" s="686"/>
      <c r="B214" s="686"/>
      <c r="C214" s="686"/>
      <c r="D214" s="686"/>
      <c r="E214" s="686"/>
      <c r="F214" s="686"/>
      <c r="G214" s="686"/>
      <c r="H214" s="686"/>
      <c r="I214" s="686"/>
      <c r="J214" s="686"/>
      <c r="K214" s="686"/>
      <c r="L214" s="686"/>
      <c r="M214" s="686"/>
      <c r="N214" s="686"/>
      <c r="O214" s="686"/>
      <c r="P214" s="686"/>
      <c r="Q214" s="686"/>
      <c r="R214" s="686"/>
      <c r="S214" s="686"/>
      <c r="T214" s="686"/>
    </row>
    <row r="215" spans="1:20" x14ac:dyDescent="0.2">
      <c r="A215" s="686"/>
      <c r="B215" s="686"/>
      <c r="C215" s="686"/>
      <c r="D215" s="686"/>
      <c r="E215" s="686"/>
      <c r="F215" s="686"/>
      <c r="G215" s="686"/>
      <c r="H215" s="686"/>
      <c r="I215" s="686"/>
      <c r="J215" s="686"/>
      <c r="K215" s="686"/>
      <c r="L215" s="686"/>
      <c r="M215" s="686"/>
      <c r="N215" s="686"/>
      <c r="O215" s="686"/>
      <c r="P215" s="686"/>
      <c r="Q215" s="686"/>
      <c r="R215" s="686"/>
      <c r="S215" s="686"/>
      <c r="T215" s="686"/>
    </row>
    <row r="216" spans="1:20" x14ac:dyDescent="0.2">
      <c r="A216" s="686"/>
      <c r="B216" s="686"/>
      <c r="C216" s="686"/>
      <c r="D216" s="686"/>
      <c r="E216" s="686"/>
      <c r="F216" s="686"/>
      <c r="G216" s="686"/>
      <c r="H216" s="686"/>
      <c r="I216" s="686"/>
      <c r="J216" s="686"/>
      <c r="K216" s="686"/>
      <c r="L216" s="686"/>
      <c r="M216" s="686"/>
      <c r="N216" s="686"/>
      <c r="O216" s="686"/>
      <c r="P216" s="686"/>
      <c r="Q216" s="686"/>
      <c r="R216" s="686"/>
      <c r="S216" s="686"/>
      <c r="T216" s="686"/>
    </row>
    <row r="217" spans="1:20" x14ac:dyDescent="0.2">
      <c r="A217" s="686"/>
      <c r="B217" s="686"/>
      <c r="C217" s="686"/>
      <c r="D217" s="686"/>
      <c r="E217" s="686"/>
      <c r="F217" s="686"/>
      <c r="G217" s="686"/>
      <c r="H217" s="686"/>
      <c r="I217" s="686"/>
      <c r="J217" s="686"/>
      <c r="K217" s="686"/>
      <c r="L217" s="686"/>
      <c r="M217" s="686"/>
      <c r="N217" s="686"/>
      <c r="O217" s="686"/>
      <c r="P217" s="686"/>
      <c r="Q217" s="686"/>
      <c r="R217" s="686"/>
      <c r="S217" s="686"/>
      <c r="T217" s="686"/>
    </row>
    <row r="218" spans="1:20" x14ac:dyDescent="0.2">
      <c r="A218" s="686"/>
      <c r="B218" s="686"/>
      <c r="C218" s="686"/>
      <c r="D218" s="686"/>
      <c r="E218" s="686"/>
      <c r="F218" s="686"/>
      <c r="G218" s="686"/>
      <c r="H218" s="686"/>
      <c r="I218" s="686"/>
      <c r="J218" s="686"/>
      <c r="K218" s="686"/>
      <c r="L218" s="686"/>
      <c r="M218" s="686"/>
      <c r="N218" s="686"/>
      <c r="O218" s="686"/>
      <c r="P218" s="686"/>
      <c r="Q218" s="686"/>
      <c r="R218" s="686"/>
      <c r="S218" s="686"/>
      <c r="T218" s="686"/>
    </row>
    <row r="219" spans="1:20" x14ac:dyDescent="0.2">
      <c r="A219" s="686"/>
      <c r="B219" s="686"/>
      <c r="C219" s="686"/>
      <c r="D219" s="686"/>
      <c r="E219" s="686"/>
      <c r="F219" s="686"/>
      <c r="G219" s="686"/>
      <c r="H219" s="686"/>
      <c r="I219" s="686"/>
      <c r="J219" s="686"/>
      <c r="K219" s="686"/>
      <c r="L219" s="686"/>
      <c r="M219" s="686"/>
      <c r="N219" s="686"/>
      <c r="O219" s="686"/>
      <c r="P219" s="686"/>
      <c r="Q219" s="686"/>
      <c r="R219" s="686"/>
      <c r="S219" s="686"/>
      <c r="T219" s="686"/>
    </row>
    <row r="220" spans="1:20" x14ac:dyDescent="0.2">
      <c r="A220" s="686"/>
      <c r="B220" s="686"/>
      <c r="C220" s="686"/>
      <c r="D220" s="686"/>
      <c r="E220" s="686"/>
      <c r="F220" s="686"/>
      <c r="G220" s="686"/>
      <c r="H220" s="686"/>
      <c r="I220" s="686"/>
      <c r="J220" s="686"/>
      <c r="K220" s="686"/>
      <c r="L220" s="686"/>
      <c r="M220" s="686"/>
      <c r="N220" s="686"/>
      <c r="O220" s="686"/>
      <c r="P220" s="686"/>
      <c r="Q220" s="686"/>
      <c r="R220" s="686"/>
      <c r="S220" s="686"/>
      <c r="T220" s="686"/>
    </row>
    <row r="221" spans="1:20" x14ac:dyDescent="0.2">
      <c r="A221" s="686"/>
      <c r="B221" s="686"/>
      <c r="C221" s="686"/>
      <c r="D221" s="686"/>
      <c r="E221" s="686"/>
      <c r="F221" s="686"/>
      <c r="G221" s="686"/>
      <c r="H221" s="686"/>
      <c r="I221" s="686"/>
      <c r="J221" s="686"/>
      <c r="K221" s="686"/>
      <c r="L221" s="686"/>
      <c r="M221" s="686"/>
      <c r="N221" s="686"/>
      <c r="O221" s="686"/>
      <c r="P221" s="686"/>
      <c r="Q221" s="686"/>
      <c r="R221" s="686"/>
      <c r="S221" s="686"/>
      <c r="T221" s="686"/>
    </row>
    <row r="222" spans="1:20" x14ac:dyDescent="0.2">
      <c r="A222" s="686"/>
      <c r="B222" s="686"/>
      <c r="C222" s="686"/>
      <c r="D222" s="686"/>
      <c r="E222" s="686"/>
      <c r="F222" s="686"/>
      <c r="G222" s="686"/>
      <c r="H222" s="686"/>
      <c r="I222" s="686"/>
      <c r="J222" s="686"/>
      <c r="K222" s="686"/>
      <c r="L222" s="686"/>
      <c r="M222" s="686"/>
      <c r="N222" s="686"/>
      <c r="O222" s="686"/>
      <c r="P222" s="686"/>
      <c r="Q222" s="686"/>
      <c r="R222" s="686"/>
      <c r="S222" s="686"/>
      <c r="T222" s="686"/>
    </row>
    <row r="223" spans="1:20" x14ac:dyDescent="0.2">
      <c r="A223" s="686"/>
      <c r="B223" s="686"/>
      <c r="C223" s="686"/>
      <c r="D223" s="686"/>
      <c r="E223" s="686"/>
      <c r="F223" s="686"/>
      <c r="G223" s="686"/>
      <c r="H223" s="686"/>
      <c r="I223" s="686"/>
      <c r="J223" s="686"/>
      <c r="K223" s="686"/>
      <c r="L223" s="686"/>
      <c r="M223" s="686"/>
      <c r="N223" s="686"/>
      <c r="O223" s="686"/>
      <c r="P223" s="686"/>
      <c r="Q223" s="686"/>
      <c r="R223" s="686"/>
      <c r="S223" s="686"/>
      <c r="T223" s="686"/>
    </row>
    <row r="224" spans="1:20" x14ac:dyDescent="0.2">
      <c r="A224" s="686"/>
      <c r="B224" s="686"/>
      <c r="C224" s="686"/>
      <c r="D224" s="686"/>
      <c r="E224" s="686"/>
      <c r="F224" s="686"/>
      <c r="G224" s="686"/>
      <c r="H224" s="686"/>
      <c r="I224" s="686"/>
      <c r="J224" s="686"/>
      <c r="K224" s="686"/>
      <c r="L224" s="686"/>
      <c r="M224" s="686"/>
      <c r="N224" s="686"/>
      <c r="O224" s="686"/>
      <c r="P224" s="686"/>
      <c r="Q224" s="686"/>
      <c r="R224" s="686"/>
      <c r="S224" s="686"/>
      <c r="T224" s="686"/>
    </row>
    <row r="225" spans="1:20" x14ac:dyDescent="0.2">
      <c r="A225" s="686"/>
      <c r="B225" s="686"/>
      <c r="C225" s="686"/>
      <c r="D225" s="686"/>
      <c r="E225" s="686"/>
      <c r="F225" s="686"/>
      <c r="G225" s="686"/>
      <c r="H225" s="686"/>
      <c r="I225" s="686"/>
      <c r="J225" s="686"/>
      <c r="K225" s="686"/>
      <c r="L225" s="686"/>
      <c r="M225" s="686"/>
      <c r="N225" s="686"/>
      <c r="O225" s="686"/>
      <c r="P225" s="686"/>
      <c r="Q225" s="686"/>
      <c r="R225" s="686"/>
      <c r="S225" s="686"/>
      <c r="T225" s="686"/>
    </row>
    <row r="226" spans="1:20" x14ac:dyDescent="0.2">
      <c r="A226" s="686"/>
      <c r="B226" s="686"/>
      <c r="C226" s="686"/>
      <c r="D226" s="686"/>
      <c r="E226" s="686"/>
      <c r="F226" s="686"/>
      <c r="G226" s="686"/>
      <c r="H226" s="686"/>
      <c r="I226" s="686"/>
      <c r="J226" s="686"/>
      <c r="K226" s="686"/>
      <c r="L226" s="686"/>
      <c r="M226" s="686"/>
      <c r="N226" s="686"/>
      <c r="O226" s="686"/>
      <c r="P226" s="686"/>
      <c r="Q226" s="686"/>
      <c r="R226" s="686"/>
      <c r="S226" s="686"/>
      <c r="T226" s="686"/>
    </row>
    <row r="227" spans="1:20" x14ac:dyDescent="0.2">
      <c r="A227" s="686"/>
      <c r="B227" s="686"/>
      <c r="C227" s="686"/>
      <c r="D227" s="686"/>
      <c r="E227" s="686"/>
      <c r="F227" s="686"/>
      <c r="G227" s="686"/>
      <c r="H227" s="686"/>
      <c r="I227" s="686"/>
      <c r="J227" s="686"/>
      <c r="K227" s="686"/>
      <c r="L227" s="686"/>
      <c r="M227" s="686"/>
      <c r="N227" s="686"/>
      <c r="O227" s="686"/>
      <c r="P227" s="686"/>
      <c r="Q227" s="686"/>
      <c r="R227" s="686"/>
      <c r="S227" s="686"/>
      <c r="T227" s="686"/>
    </row>
  </sheetData>
  <sheetProtection password="C1BB" sheet="1"/>
  <phoneticPr fontId="87" type="noConversion"/>
  <pageMargins left="0.39370078740157477" right="0.39370078740157477" top="0.39370078740157477" bottom="0.39370078740157477" header="0.19685039370078738" footer="0.19685039370078738"/>
  <pageSetup paperSize="9" scale="78" orientation="landscape" blackAndWhite="1" horizontalDpi="4294967293" r:id="rId1"/>
  <headerFooter alignWithMargins="0"/>
  <drawing r:id="rId2"/>
  <legacyDrawing r:id="rId3"/>
  <oleObjects>
    <mc:AlternateContent xmlns:mc="http://schemas.openxmlformats.org/markup-compatibility/2006">
      <mc:Choice Requires="x14">
        <oleObject progId="Word.Document.8" shapeId="38949" r:id="rId4">
          <objectPr defaultSize="0" autoPict="0" r:id="rId5">
            <anchor moveWithCells="1">
              <from>
                <xdr:col>1</xdr:col>
                <xdr:colOff>0</xdr:colOff>
                <xdr:row>1</xdr:row>
                <xdr:rowOff>85725</xdr:rowOff>
              </from>
              <to>
                <xdr:col>19</xdr:col>
                <xdr:colOff>9525</xdr:colOff>
                <xdr:row>56</xdr:row>
                <xdr:rowOff>85725</xdr:rowOff>
              </to>
            </anchor>
          </objectPr>
        </oleObject>
      </mc:Choice>
      <mc:Fallback>
        <oleObject progId="Word.Document.8" shapeId="38949" r:id="rId4"/>
      </mc:Fallback>
    </mc:AlternateContent>
    <mc:AlternateContent xmlns:mc="http://schemas.openxmlformats.org/markup-compatibility/2006">
      <mc:Choice Requires="x14">
        <oleObject progId="Word.Document.8" shapeId="38957" r:id="rId6">
          <objectPr defaultSize="0" r:id="rId7">
            <anchor moveWithCells="1">
              <from>
                <xdr:col>1</xdr:col>
                <xdr:colOff>38100</xdr:colOff>
                <xdr:row>146</xdr:row>
                <xdr:rowOff>123825</xdr:rowOff>
              </from>
              <to>
                <xdr:col>19</xdr:col>
                <xdr:colOff>38100</xdr:colOff>
                <xdr:row>174</xdr:row>
                <xdr:rowOff>114300</xdr:rowOff>
              </to>
            </anchor>
          </objectPr>
        </oleObject>
      </mc:Choice>
      <mc:Fallback>
        <oleObject progId="Word.Document.8" shapeId="38957" r:id="rId6"/>
      </mc:Fallback>
    </mc:AlternateContent>
    <mc:AlternateContent xmlns:mc="http://schemas.openxmlformats.org/markup-compatibility/2006">
      <mc:Choice Requires="x14">
        <oleObject progId="Word.Document.8" shapeId="38969" r:id="rId8">
          <objectPr defaultSize="0" r:id="rId9">
            <anchor moveWithCells="1">
              <from>
                <xdr:col>1</xdr:col>
                <xdr:colOff>0</xdr:colOff>
                <xdr:row>61</xdr:row>
                <xdr:rowOff>38100</xdr:rowOff>
              </from>
              <to>
                <xdr:col>19</xdr:col>
                <xdr:colOff>95250</xdr:colOff>
                <xdr:row>114</xdr:row>
                <xdr:rowOff>57150</xdr:rowOff>
              </to>
            </anchor>
          </objectPr>
        </oleObject>
      </mc:Choice>
      <mc:Fallback>
        <oleObject progId="Word.Document.8" shapeId="38969" r:id="rId8"/>
      </mc:Fallback>
    </mc:AlternateContent>
    <mc:AlternateContent xmlns:mc="http://schemas.openxmlformats.org/markup-compatibility/2006">
      <mc:Choice Requires="x14">
        <oleObject progId="Word.Document.8" shapeId="38970" r:id="rId10">
          <objectPr defaultSize="0" autoPict="0" r:id="rId11">
            <anchor moveWithCells="1">
              <from>
                <xdr:col>1</xdr:col>
                <xdr:colOff>0</xdr:colOff>
                <xdr:row>113</xdr:row>
                <xdr:rowOff>28575</xdr:rowOff>
              </from>
              <to>
                <xdr:col>18</xdr:col>
                <xdr:colOff>619125</xdr:colOff>
                <xdr:row>146</xdr:row>
                <xdr:rowOff>28575</xdr:rowOff>
              </to>
            </anchor>
          </objectPr>
        </oleObject>
      </mc:Choice>
      <mc:Fallback>
        <oleObject progId="Word.Document.8" shapeId="38970" r:id="rId10"/>
      </mc:Fallback>
    </mc:AlternateContent>
    <mc:AlternateContent xmlns:mc="http://schemas.openxmlformats.org/markup-compatibility/2006">
      <mc:Choice Requires="x14">
        <oleObject progId="Word.Document.8" shapeId="38972" r:id="rId12">
          <objectPr defaultSize="0" r:id="rId13">
            <anchor moveWithCells="1">
              <from>
                <xdr:col>1</xdr:col>
                <xdr:colOff>28575</xdr:colOff>
                <xdr:row>175</xdr:row>
                <xdr:rowOff>9525</xdr:rowOff>
              </from>
              <to>
                <xdr:col>18</xdr:col>
                <xdr:colOff>619125</xdr:colOff>
                <xdr:row>224</xdr:row>
                <xdr:rowOff>152400</xdr:rowOff>
              </to>
            </anchor>
          </objectPr>
        </oleObject>
      </mc:Choice>
      <mc:Fallback>
        <oleObject progId="Word.Document.8" shapeId="38972" r:id="rId12"/>
      </mc:Fallback>
    </mc:AlternateContent>
  </oleObjects>
  <controls>
    <mc:AlternateContent xmlns:mc="http://schemas.openxmlformats.org/markup-compatibility/2006">
      <mc:Choice Requires="x14">
        <control shapeId="38980" r:id="rId14" name="cmdWelcome2">
          <controlPr defaultSize="0" autoLine="0" r:id="rId15">
            <anchor moveWithCells="1">
              <from>
                <xdr:col>14</xdr:col>
                <xdr:colOff>85725</xdr:colOff>
                <xdr:row>209</xdr:row>
                <xdr:rowOff>152400</xdr:rowOff>
              </from>
              <to>
                <xdr:col>18</xdr:col>
                <xdr:colOff>295275</xdr:colOff>
                <xdr:row>213</xdr:row>
                <xdr:rowOff>133350</xdr:rowOff>
              </to>
            </anchor>
          </controlPr>
        </control>
      </mc:Choice>
      <mc:Fallback>
        <control shapeId="38980" r:id="rId14" name="cmdWelcome2"/>
      </mc:Fallback>
    </mc:AlternateContent>
    <mc:AlternateContent xmlns:mc="http://schemas.openxmlformats.org/markup-compatibility/2006">
      <mc:Choice Requires="x14">
        <control shapeId="38979" r:id="rId16" name="cmdRations">
          <controlPr defaultSize="0" autoLine="0" r:id="rId17">
            <anchor moveWithCells="1">
              <from>
                <xdr:col>14</xdr:col>
                <xdr:colOff>152400</xdr:colOff>
                <xdr:row>153</xdr:row>
                <xdr:rowOff>123825</xdr:rowOff>
              </from>
              <to>
                <xdr:col>18</xdr:col>
                <xdr:colOff>428625</xdr:colOff>
                <xdr:row>157</xdr:row>
                <xdr:rowOff>123825</xdr:rowOff>
              </to>
            </anchor>
          </controlPr>
        </control>
      </mc:Choice>
      <mc:Fallback>
        <control shapeId="38979" r:id="rId16" name="cmdRations"/>
      </mc:Fallback>
    </mc:AlternateContent>
    <mc:AlternateContent xmlns:mc="http://schemas.openxmlformats.org/markup-compatibility/2006">
      <mc:Choice Requires="x14">
        <control shapeId="38978" r:id="rId18" name="cmdInputs">
          <controlPr defaultSize="0" autoLine="0" r:id="rId19">
            <anchor moveWithCells="1">
              <from>
                <xdr:col>13</xdr:col>
                <xdr:colOff>409575</xdr:colOff>
                <xdr:row>66</xdr:row>
                <xdr:rowOff>104775</xdr:rowOff>
              </from>
              <to>
                <xdr:col>18</xdr:col>
                <xdr:colOff>342900</xdr:colOff>
                <xdr:row>70</xdr:row>
                <xdr:rowOff>19050</xdr:rowOff>
              </to>
            </anchor>
          </controlPr>
        </control>
      </mc:Choice>
      <mc:Fallback>
        <control shapeId="38978" r:id="rId18" name="cmdInputs"/>
      </mc:Fallback>
    </mc:AlternateContent>
    <mc:AlternateContent xmlns:mc="http://schemas.openxmlformats.org/markup-compatibility/2006">
      <mc:Choice Requires="x14">
        <control shapeId="38977" r:id="rId20" name="cmdPrimefacts">
          <controlPr defaultSize="0" autoLine="0" r:id="rId21">
            <anchor moveWithCells="1">
              <from>
                <xdr:col>13</xdr:col>
                <xdr:colOff>561975</xdr:colOff>
                <xdr:row>61</xdr:row>
                <xdr:rowOff>38100</xdr:rowOff>
              </from>
              <to>
                <xdr:col>18</xdr:col>
                <xdr:colOff>352425</xdr:colOff>
                <xdr:row>65</xdr:row>
                <xdr:rowOff>76200</xdr:rowOff>
              </to>
            </anchor>
          </controlPr>
        </control>
      </mc:Choice>
      <mc:Fallback>
        <control shapeId="38977" r:id="rId20" name="cmdPrimefacts"/>
      </mc:Fallback>
    </mc:AlternateContent>
    <mc:AlternateContent xmlns:mc="http://schemas.openxmlformats.org/markup-compatibility/2006">
      <mc:Choice Requires="x14">
        <control shapeId="38966" r:id="rId22" name="cmdGoToWelcome2">
          <controlPr defaultSize="0" autoLine="0" r:id="rId23">
            <anchor moveWithCells="1">
              <from>
                <xdr:col>14</xdr:col>
                <xdr:colOff>152400</xdr:colOff>
                <xdr:row>199</xdr:row>
                <xdr:rowOff>19050</xdr:rowOff>
              </from>
              <to>
                <xdr:col>18</xdr:col>
                <xdr:colOff>361950</xdr:colOff>
                <xdr:row>203</xdr:row>
                <xdr:rowOff>0</xdr:rowOff>
              </to>
            </anchor>
          </controlPr>
        </control>
      </mc:Choice>
      <mc:Fallback>
        <control shapeId="38966" r:id="rId22" name="cmdGoToWelcome2"/>
      </mc:Fallback>
    </mc:AlternateContent>
    <mc:AlternateContent xmlns:mc="http://schemas.openxmlformats.org/markup-compatibility/2006">
      <mc:Choice Requires="x14">
        <control shapeId="38965" r:id="rId24" name="cmdGoToRations">
          <controlPr defaultSize="0" autoLine="0" r:id="rId25">
            <anchor moveWithCells="1">
              <from>
                <xdr:col>14</xdr:col>
                <xdr:colOff>38100</xdr:colOff>
                <xdr:row>141</xdr:row>
                <xdr:rowOff>76200</xdr:rowOff>
              </from>
              <to>
                <xdr:col>18</xdr:col>
                <xdr:colOff>314325</xdr:colOff>
                <xdr:row>145</xdr:row>
                <xdr:rowOff>76200</xdr:rowOff>
              </to>
            </anchor>
          </controlPr>
        </control>
      </mc:Choice>
      <mc:Fallback>
        <control shapeId="38965" r:id="rId24" name="cmdGoToRations"/>
      </mc:Fallback>
    </mc:AlternateContent>
    <mc:AlternateContent xmlns:mc="http://schemas.openxmlformats.org/markup-compatibility/2006">
      <mc:Choice Requires="x14">
        <control shapeId="38964" r:id="rId26" name="cmdGoToInputs">
          <controlPr defaultSize="0" autoLine="0" r:id="rId27">
            <anchor moveWithCells="1">
              <from>
                <xdr:col>13</xdr:col>
                <xdr:colOff>400050</xdr:colOff>
                <xdr:row>83</xdr:row>
                <xdr:rowOff>95250</xdr:rowOff>
              </from>
              <to>
                <xdr:col>18</xdr:col>
                <xdr:colOff>333375</xdr:colOff>
                <xdr:row>87</xdr:row>
                <xdr:rowOff>9525</xdr:rowOff>
              </to>
            </anchor>
          </controlPr>
        </control>
      </mc:Choice>
      <mc:Fallback>
        <control shapeId="38964" r:id="rId26" name="cmdGoToInputs"/>
      </mc:Fallback>
    </mc:AlternateContent>
    <mc:AlternateContent xmlns:mc="http://schemas.openxmlformats.org/markup-compatibility/2006">
      <mc:Choice Requires="x14">
        <control shapeId="38963" r:id="rId28" name="CmdAgnote2">
          <controlPr defaultSize="0" autoLine="0" r:id="rId29">
            <anchor moveWithCells="1">
              <from>
                <xdr:col>13</xdr:col>
                <xdr:colOff>552450</xdr:colOff>
                <xdr:row>61</xdr:row>
                <xdr:rowOff>38100</xdr:rowOff>
              </from>
              <to>
                <xdr:col>18</xdr:col>
                <xdr:colOff>228600</xdr:colOff>
                <xdr:row>65</xdr:row>
                <xdr:rowOff>76200</xdr:rowOff>
              </to>
            </anchor>
          </controlPr>
        </control>
      </mc:Choice>
      <mc:Fallback>
        <control shapeId="38963" r:id="rId28" name="CmdAgnote2"/>
      </mc:Fallback>
    </mc:AlternateContent>
    <mc:AlternateContent xmlns:mc="http://schemas.openxmlformats.org/markup-compatibility/2006">
      <mc:Choice Requires="x14">
        <control shapeId="38962" r:id="rId30" name="cmdPrintAdvanceInst">
          <controlPr defaultSize="0" autoLine="0" r:id="rId31">
            <anchor moveWithCells="1">
              <from>
                <xdr:col>13</xdr:col>
                <xdr:colOff>342900</xdr:colOff>
                <xdr:row>10</xdr:row>
                <xdr:rowOff>28575</xdr:rowOff>
              </from>
              <to>
                <xdr:col>18</xdr:col>
                <xdr:colOff>257175</xdr:colOff>
                <xdr:row>13</xdr:row>
                <xdr:rowOff>38100</xdr:rowOff>
              </to>
            </anchor>
          </controlPr>
        </control>
      </mc:Choice>
      <mc:Fallback>
        <control shapeId="38962" r:id="rId30" name="cmdPrintAdvanceInst"/>
      </mc:Fallback>
    </mc:AlternateContent>
    <mc:AlternateContent xmlns:mc="http://schemas.openxmlformats.org/markup-compatibility/2006">
      <mc:Choice Requires="x14">
        <control shapeId="38961" r:id="rId32" name="CmdGoToSummary">
          <controlPr defaultSize="0" autoLine="0" r:id="rId33">
            <anchor moveWithCells="1">
              <from>
                <xdr:col>14</xdr:col>
                <xdr:colOff>266700</xdr:colOff>
                <xdr:row>22</xdr:row>
                <xdr:rowOff>95250</xdr:rowOff>
              </from>
              <to>
                <xdr:col>18</xdr:col>
                <xdr:colOff>104775</xdr:colOff>
                <xdr:row>26</xdr:row>
                <xdr:rowOff>104775</xdr:rowOff>
              </to>
            </anchor>
          </controlPr>
        </control>
      </mc:Choice>
      <mc:Fallback>
        <control shapeId="38961" r:id="rId32" name="CmdGoToSummary"/>
      </mc:Fallback>
    </mc:AlternateContent>
    <mc:AlternateContent xmlns:mc="http://schemas.openxmlformats.org/markup-compatibility/2006">
      <mc:Choice Requires="x14">
        <control shapeId="38960" r:id="rId34" name="CmdGoToWelcome">
          <controlPr defaultSize="0" autoLine="0" r:id="rId35">
            <anchor moveWithCells="1">
              <from>
                <xdr:col>13</xdr:col>
                <xdr:colOff>552450</xdr:colOff>
                <xdr:row>17</xdr:row>
                <xdr:rowOff>133350</xdr:rowOff>
              </from>
              <to>
                <xdr:col>18</xdr:col>
                <xdr:colOff>152400</xdr:colOff>
                <xdr:row>21</xdr:row>
                <xdr:rowOff>114300</xdr:rowOff>
              </to>
            </anchor>
          </controlPr>
        </control>
      </mc:Choice>
      <mc:Fallback>
        <control shapeId="38960" r:id="rId34" name="CmdGoToWelcome"/>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Q56"/>
  <sheetViews>
    <sheetView tabSelected="1" zoomScale="65" zoomScaleNormal="65" workbookViewId="0">
      <selection activeCell="D28" sqref="D28"/>
    </sheetView>
  </sheetViews>
  <sheetFormatPr defaultRowHeight="12.75" x14ac:dyDescent="0.2"/>
  <cols>
    <col min="1" max="1" width="17.85546875" style="119" customWidth="1"/>
    <col min="2" max="5" width="9.140625" style="119"/>
    <col min="6" max="6" width="17.28515625" style="119" customWidth="1"/>
    <col min="7" max="10" width="9.140625" style="119"/>
    <col min="11" max="11" width="12.7109375" style="119" customWidth="1"/>
    <col min="12" max="12" width="9.140625" style="119"/>
    <col min="13" max="13" width="14.7109375" style="119" customWidth="1"/>
    <col min="14" max="16384" width="9.140625" style="119"/>
  </cols>
  <sheetData>
    <row r="1" spans="1:17" x14ac:dyDescent="0.2">
      <c r="A1" s="132"/>
      <c r="B1" s="132"/>
      <c r="C1" s="132"/>
      <c r="D1" s="132"/>
      <c r="E1" s="132"/>
      <c r="F1" s="132"/>
      <c r="G1" s="132"/>
      <c r="H1" s="132"/>
      <c r="I1" s="132"/>
      <c r="J1" s="132"/>
      <c r="K1" s="132"/>
      <c r="L1" s="132"/>
      <c r="M1" s="132"/>
      <c r="N1" s="132"/>
      <c r="O1" s="132"/>
      <c r="P1" s="132"/>
      <c r="Q1" s="132"/>
    </row>
    <row r="2" spans="1:17" ht="8.25" hidden="1" customHeight="1" x14ac:dyDescent="0.2">
      <c r="A2" s="132"/>
      <c r="B2" s="132"/>
      <c r="C2" s="132"/>
      <c r="D2" s="132"/>
      <c r="E2" s="132"/>
      <c r="F2" s="132"/>
      <c r="G2" s="132"/>
      <c r="H2" s="132"/>
      <c r="I2" s="132"/>
      <c r="J2" s="132"/>
      <c r="K2" s="132"/>
      <c r="L2" s="132"/>
      <c r="M2" s="132"/>
      <c r="N2" s="132"/>
      <c r="O2" s="132"/>
      <c r="P2" s="132"/>
      <c r="Q2" s="132"/>
    </row>
    <row r="3" spans="1:17" hidden="1" x14ac:dyDescent="0.2">
      <c r="A3" s="132"/>
      <c r="B3" s="132"/>
      <c r="C3" s="132"/>
      <c r="D3" s="132"/>
      <c r="E3" s="132"/>
      <c r="F3" s="132"/>
      <c r="G3" s="132"/>
      <c r="H3" s="132"/>
      <c r="I3" s="132"/>
      <c r="J3" s="132"/>
      <c r="K3" s="132"/>
      <c r="L3" s="132"/>
      <c r="M3" s="132"/>
      <c r="N3" s="132"/>
      <c r="O3" s="132"/>
      <c r="P3" s="132"/>
      <c r="Q3" s="132"/>
    </row>
    <row r="4" spans="1:17" ht="45" customHeight="1" x14ac:dyDescent="0.6">
      <c r="A4" s="882" t="s">
        <v>537</v>
      </c>
      <c r="B4" s="882"/>
      <c r="C4" s="882"/>
      <c r="D4" s="882"/>
      <c r="E4" s="882"/>
      <c r="F4" s="882"/>
      <c r="G4" s="882"/>
      <c r="H4" s="882"/>
      <c r="I4" s="882"/>
      <c r="J4" s="882"/>
      <c r="K4" s="882"/>
      <c r="L4" s="882"/>
      <c r="M4" s="882"/>
      <c r="N4" s="132"/>
      <c r="O4" s="132"/>
      <c r="P4" s="132"/>
      <c r="Q4" s="132"/>
    </row>
    <row r="5" spans="1:17" ht="18" customHeight="1" x14ac:dyDescent="0.25">
      <c r="A5" s="132"/>
      <c r="B5" s="132"/>
      <c r="C5" s="132"/>
      <c r="D5" s="883"/>
      <c r="E5" s="883"/>
      <c r="F5" s="883"/>
      <c r="G5" s="132"/>
      <c r="H5" s="132"/>
      <c r="I5" s="132"/>
      <c r="J5" s="132"/>
      <c r="K5" s="132"/>
      <c r="L5" s="681"/>
      <c r="M5" s="681"/>
      <c r="N5" s="132"/>
      <c r="O5" s="132"/>
      <c r="P5" s="132"/>
      <c r="Q5" s="132"/>
    </row>
    <row r="6" spans="1:17" ht="18" x14ac:dyDescent="0.25">
      <c r="A6" s="132"/>
      <c r="B6" s="132"/>
      <c r="C6" s="132"/>
      <c r="D6" s="132"/>
      <c r="E6" s="132"/>
      <c r="F6" s="132"/>
      <c r="G6" s="682" t="s">
        <v>504</v>
      </c>
      <c r="H6" s="682">
        <v>4.0999999999999996</v>
      </c>
      <c r="I6" s="681"/>
      <c r="J6" s="681"/>
      <c r="K6" s="681"/>
      <c r="L6" s="681"/>
      <c r="M6" s="681"/>
      <c r="N6" s="132"/>
      <c r="O6" s="132"/>
      <c r="P6" s="132"/>
      <c r="Q6" s="132"/>
    </row>
    <row r="7" spans="1:17" ht="15" x14ac:dyDescent="0.25">
      <c r="A7" s="132"/>
      <c r="B7" s="132"/>
      <c r="C7" s="132"/>
      <c r="D7" s="387"/>
      <c r="E7" s="132"/>
      <c r="F7" s="132"/>
      <c r="G7" s="132"/>
      <c r="H7" s="132"/>
      <c r="I7" s="132"/>
      <c r="J7" s="132"/>
      <c r="K7" s="132"/>
      <c r="L7" s="681"/>
      <c r="M7" s="681"/>
      <c r="N7" s="132"/>
      <c r="O7" s="132"/>
      <c r="P7" s="132"/>
      <c r="Q7" s="132"/>
    </row>
    <row r="8" spans="1:17" ht="15" x14ac:dyDescent="0.25">
      <c r="A8" s="132"/>
      <c r="B8" s="132"/>
      <c r="C8" s="132"/>
      <c r="D8" s="132"/>
      <c r="E8" s="132"/>
      <c r="F8" s="132"/>
      <c r="G8" s="681" t="s">
        <v>280</v>
      </c>
      <c r="H8" s="681"/>
      <c r="I8" s="681"/>
      <c r="J8" s="681"/>
      <c r="K8" s="681"/>
      <c r="L8" s="132"/>
      <c r="M8" s="132"/>
      <c r="N8" s="132"/>
      <c r="O8" s="132"/>
      <c r="P8" s="132"/>
      <c r="Q8" s="132"/>
    </row>
    <row r="9" spans="1:17" x14ac:dyDescent="0.2">
      <c r="A9" s="132"/>
      <c r="B9" s="132"/>
      <c r="C9" s="132"/>
      <c r="D9" s="132"/>
      <c r="E9" s="132"/>
      <c r="F9" s="132"/>
      <c r="G9" s="132"/>
      <c r="H9" s="132"/>
      <c r="I9" s="132"/>
      <c r="J9" s="132"/>
      <c r="K9" s="132"/>
      <c r="L9" s="132"/>
      <c r="M9" s="132"/>
      <c r="N9" s="132"/>
      <c r="O9" s="132"/>
      <c r="P9" s="132"/>
      <c r="Q9" s="132"/>
    </row>
    <row r="10" spans="1:17" x14ac:dyDescent="0.2">
      <c r="A10" s="132"/>
      <c r="B10" s="132"/>
      <c r="C10" s="132"/>
      <c r="D10" s="132"/>
      <c r="E10" s="132"/>
      <c r="F10" s="132"/>
      <c r="G10" s="683" t="s">
        <v>193</v>
      </c>
      <c r="H10" s="132"/>
      <c r="I10" s="132"/>
      <c r="J10" s="132"/>
      <c r="K10" s="132"/>
      <c r="L10" s="382"/>
      <c r="M10" s="132"/>
      <c r="N10" s="132"/>
      <c r="O10" s="132"/>
      <c r="P10" s="132"/>
      <c r="Q10" s="132"/>
    </row>
    <row r="11" spans="1:17" x14ac:dyDescent="0.2">
      <c r="A11" s="132"/>
      <c r="B11" s="132"/>
      <c r="C11" s="132"/>
      <c r="D11" s="132"/>
      <c r="E11" s="132"/>
      <c r="F11" s="132"/>
      <c r="G11" s="132" t="s">
        <v>194</v>
      </c>
      <c r="H11" s="132"/>
      <c r="I11" s="132"/>
      <c r="J11" s="132" t="s">
        <v>195</v>
      </c>
      <c r="K11" s="132" t="s">
        <v>199</v>
      </c>
      <c r="L11" s="382"/>
      <c r="M11" s="132"/>
      <c r="N11" s="132"/>
      <c r="O11" s="132"/>
      <c r="P11" s="132"/>
      <c r="Q11" s="132"/>
    </row>
    <row r="12" spans="1:17" x14ac:dyDescent="0.2">
      <c r="A12" s="132"/>
      <c r="B12" s="132"/>
      <c r="C12" s="132"/>
      <c r="D12" s="132"/>
      <c r="E12" s="132"/>
      <c r="F12" s="132"/>
      <c r="G12" s="132"/>
      <c r="H12" s="132"/>
      <c r="I12" s="132"/>
      <c r="J12" s="132" t="s">
        <v>195</v>
      </c>
      <c r="K12" s="132" t="s">
        <v>197</v>
      </c>
      <c r="L12" s="382"/>
      <c r="M12" s="132"/>
      <c r="N12" s="132"/>
      <c r="O12" s="132"/>
      <c r="P12" s="132"/>
      <c r="Q12" s="132"/>
    </row>
    <row r="13" spans="1:17" x14ac:dyDescent="0.2">
      <c r="A13" s="132"/>
      <c r="B13" s="132"/>
      <c r="C13" s="132"/>
      <c r="D13" s="132"/>
      <c r="E13" s="132"/>
      <c r="F13" s="132"/>
      <c r="G13" s="132"/>
      <c r="H13" s="132"/>
      <c r="I13" s="132"/>
      <c r="J13" s="132"/>
      <c r="K13" s="132"/>
      <c r="L13" s="382"/>
      <c r="M13" s="132"/>
      <c r="N13" s="132"/>
      <c r="O13" s="132"/>
      <c r="P13" s="132"/>
      <c r="Q13" s="132"/>
    </row>
    <row r="14" spans="1:17" x14ac:dyDescent="0.2">
      <c r="A14" s="132"/>
      <c r="B14" s="132"/>
      <c r="C14" s="132"/>
      <c r="D14" s="132"/>
      <c r="E14" s="132"/>
      <c r="F14" s="132"/>
      <c r="G14" s="132"/>
      <c r="H14" s="132"/>
      <c r="I14" s="132"/>
      <c r="J14" s="132"/>
      <c r="K14" s="132"/>
      <c r="L14" s="132"/>
      <c r="M14" s="132"/>
      <c r="N14" s="132"/>
      <c r="O14" s="132"/>
      <c r="P14" s="132"/>
      <c r="Q14" s="132"/>
    </row>
    <row r="15" spans="1:17" x14ac:dyDescent="0.2">
      <c r="A15" s="132"/>
      <c r="B15" s="132"/>
      <c r="C15" s="132"/>
      <c r="D15" s="132"/>
      <c r="E15" s="132"/>
      <c r="F15" s="132"/>
      <c r="G15" s="132"/>
      <c r="H15" s="132"/>
      <c r="I15" s="132"/>
      <c r="J15" s="132"/>
      <c r="K15" s="132"/>
      <c r="L15" s="132"/>
      <c r="M15" s="132"/>
      <c r="N15" s="132"/>
      <c r="O15" s="132"/>
      <c r="P15" s="132"/>
      <c r="Q15" s="132"/>
    </row>
    <row r="16" spans="1:17" x14ac:dyDescent="0.2">
      <c r="A16" s="132"/>
      <c r="B16" s="132"/>
      <c r="C16" s="132"/>
      <c r="D16" s="132"/>
      <c r="E16" s="132"/>
      <c r="F16" s="132"/>
      <c r="G16" s="132"/>
      <c r="H16" s="132"/>
      <c r="I16" s="132"/>
      <c r="J16" s="132"/>
      <c r="K16" s="132"/>
      <c r="L16" s="132"/>
      <c r="M16" s="132"/>
      <c r="N16" s="132"/>
      <c r="O16" s="132"/>
      <c r="P16" s="132"/>
      <c r="Q16" s="132"/>
    </row>
    <row r="17" spans="1:17" x14ac:dyDescent="0.2">
      <c r="A17" s="132"/>
      <c r="B17" s="132"/>
      <c r="C17" s="132"/>
      <c r="D17" s="132"/>
      <c r="E17" s="132"/>
      <c r="F17" s="132"/>
      <c r="G17" s="132"/>
      <c r="H17" s="132"/>
      <c r="I17" s="132"/>
      <c r="J17" s="132"/>
      <c r="K17" s="132"/>
      <c r="L17" s="132"/>
      <c r="M17" s="132"/>
      <c r="N17" s="132"/>
      <c r="O17" s="132"/>
      <c r="P17" s="132"/>
      <c r="Q17" s="132"/>
    </row>
    <row r="18" spans="1:17" ht="12.75" customHeight="1" x14ac:dyDescent="0.2">
      <c r="A18" s="132"/>
      <c r="B18" s="132"/>
      <c r="C18" s="132"/>
      <c r="D18" s="132"/>
      <c r="E18" s="132"/>
      <c r="F18" s="132"/>
      <c r="G18" s="132"/>
      <c r="H18" s="683"/>
      <c r="I18" s="132"/>
      <c r="J18" s="132"/>
      <c r="K18" s="132"/>
      <c r="L18" s="132"/>
      <c r="M18" s="132"/>
      <c r="N18" s="132"/>
      <c r="O18" s="132"/>
      <c r="P18" s="132"/>
      <c r="Q18" s="132"/>
    </row>
    <row r="19" spans="1:17" ht="12.75" customHeight="1" x14ac:dyDescent="0.2">
      <c r="A19" s="132"/>
      <c r="B19" s="132"/>
      <c r="C19" s="132"/>
      <c r="D19" s="132"/>
      <c r="E19" s="132"/>
      <c r="F19" s="132"/>
      <c r="G19" s="132"/>
      <c r="H19" s="132"/>
      <c r="I19" s="132"/>
      <c r="J19" s="132"/>
      <c r="K19" s="132"/>
      <c r="L19" s="132"/>
      <c r="M19" s="132"/>
      <c r="N19" s="132"/>
      <c r="O19" s="132"/>
      <c r="P19" s="132"/>
      <c r="Q19" s="132"/>
    </row>
    <row r="20" spans="1:17" x14ac:dyDescent="0.2">
      <c r="A20" s="132"/>
      <c r="B20" s="132"/>
      <c r="C20" s="132"/>
      <c r="D20" s="132"/>
      <c r="E20" s="132"/>
      <c r="F20" s="132"/>
      <c r="G20" s="132"/>
      <c r="H20" s="132"/>
      <c r="I20" s="132"/>
      <c r="J20" s="132"/>
      <c r="K20" s="132"/>
      <c r="L20" s="132"/>
      <c r="M20" s="132"/>
      <c r="N20" s="132"/>
      <c r="O20" s="132"/>
      <c r="P20" s="132"/>
      <c r="Q20" s="132"/>
    </row>
    <row r="21" spans="1:17" x14ac:dyDescent="0.2">
      <c r="A21" s="684" t="s">
        <v>341</v>
      </c>
      <c r="B21" s="132"/>
      <c r="C21" s="132"/>
      <c r="D21" s="132"/>
      <c r="E21" s="684" t="s">
        <v>343</v>
      </c>
      <c r="F21" s="132"/>
      <c r="G21" s="132"/>
      <c r="H21" s="132"/>
      <c r="I21" s="132"/>
      <c r="J21" s="382" t="s">
        <v>204</v>
      </c>
      <c r="K21" s="382"/>
      <c r="L21" s="382"/>
      <c r="M21" s="132"/>
      <c r="N21" s="132"/>
      <c r="O21" s="132"/>
      <c r="P21" s="132"/>
      <c r="Q21" s="132"/>
    </row>
    <row r="22" spans="1:17" x14ac:dyDescent="0.2">
      <c r="A22" s="684" t="s">
        <v>342</v>
      </c>
      <c r="B22" s="132"/>
      <c r="C22" s="132"/>
      <c r="D22" s="132"/>
      <c r="E22" s="684" t="s">
        <v>344</v>
      </c>
      <c r="F22" s="132"/>
      <c r="G22" s="132"/>
      <c r="H22" s="132"/>
      <c r="I22" s="132"/>
      <c r="J22" s="382" t="s">
        <v>203</v>
      </c>
      <c r="K22" s="382"/>
      <c r="L22" s="382"/>
      <c r="M22" s="132"/>
      <c r="N22" s="132"/>
      <c r="O22" s="132"/>
      <c r="P22" s="132"/>
      <c r="Q22" s="132"/>
    </row>
    <row r="23" spans="1:17" x14ac:dyDescent="0.2">
      <c r="A23" s="132"/>
      <c r="B23" s="132"/>
      <c r="C23" s="132"/>
      <c r="D23" s="132"/>
      <c r="E23" s="132"/>
      <c r="F23" s="132"/>
      <c r="G23" s="132"/>
      <c r="H23" s="132"/>
      <c r="I23" s="132"/>
      <c r="J23" s="132"/>
      <c r="K23" s="132"/>
      <c r="L23" s="132"/>
      <c r="M23" s="132"/>
      <c r="N23" s="132"/>
      <c r="O23" s="132"/>
      <c r="P23" s="132"/>
      <c r="Q23" s="132"/>
    </row>
    <row r="24" spans="1:17" x14ac:dyDescent="0.2">
      <c r="A24" s="132"/>
      <c r="B24" s="132"/>
      <c r="C24" s="132"/>
      <c r="D24" s="132"/>
      <c r="E24" s="132"/>
      <c r="F24" s="132"/>
      <c r="G24" s="132"/>
      <c r="H24" s="132"/>
      <c r="I24" s="132"/>
      <c r="J24" s="132"/>
      <c r="K24" s="132"/>
      <c r="L24" s="132"/>
      <c r="M24" s="132"/>
      <c r="N24" s="132"/>
      <c r="O24" s="132"/>
      <c r="P24" s="132"/>
      <c r="Q24" s="132"/>
    </row>
    <row r="25" spans="1:17" x14ac:dyDescent="0.2">
      <c r="A25" s="132"/>
      <c r="B25" s="132"/>
      <c r="C25" s="132"/>
      <c r="D25" s="132"/>
      <c r="E25" s="132"/>
      <c r="F25" s="132"/>
      <c r="G25" s="132"/>
      <c r="H25" s="132"/>
      <c r="I25" s="132"/>
      <c r="J25" s="132"/>
      <c r="K25" s="132"/>
      <c r="L25" s="132"/>
      <c r="M25" s="132"/>
      <c r="N25" s="132"/>
      <c r="O25" s="132"/>
      <c r="P25" s="132"/>
      <c r="Q25" s="132"/>
    </row>
    <row r="26" spans="1:17" x14ac:dyDescent="0.2">
      <c r="A26" s="132"/>
      <c r="B26" s="132"/>
      <c r="C26" s="132"/>
      <c r="D26" s="132"/>
      <c r="E26" s="132"/>
      <c r="F26" s="132"/>
      <c r="G26" s="132"/>
      <c r="H26" s="132"/>
      <c r="I26" s="132"/>
      <c r="J26" s="132"/>
      <c r="K26" s="132"/>
      <c r="L26" s="132"/>
      <c r="M26" s="132"/>
      <c r="N26" s="132"/>
      <c r="O26" s="132"/>
      <c r="P26" s="132"/>
      <c r="Q26" s="132"/>
    </row>
    <row r="27" spans="1:17" ht="15.75" x14ac:dyDescent="0.25">
      <c r="A27" s="132"/>
      <c r="B27" s="132"/>
      <c r="C27" s="685" t="s">
        <v>590</v>
      </c>
      <c r="D27" s="685"/>
      <c r="E27" s="685"/>
      <c r="F27" s="685"/>
      <c r="G27" s="685"/>
      <c r="H27" s="685"/>
      <c r="I27" s="685"/>
      <c r="J27" s="132"/>
      <c r="K27" s="132"/>
      <c r="L27" s="132"/>
      <c r="M27" s="132"/>
      <c r="N27" s="132"/>
      <c r="O27" s="132"/>
      <c r="P27" s="132"/>
      <c r="Q27" s="132"/>
    </row>
    <row r="28" spans="1:17" ht="18" x14ac:dyDescent="0.25">
      <c r="A28" s="132"/>
      <c r="B28" s="132"/>
      <c r="C28" s="132"/>
      <c r="D28" s="132"/>
      <c r="E28" s="132"/>
      <c r="F28" s="132"/>
      <c r="G28" s="132"/>
      <c r="H28" s="132"/>
      <c r="I28" s="132"/>
      <c r="J28" s="132"/>
      <c r="K28" s="132"/>
      <c r="L28" s="852"/>
      <c r="M28" s="132"/>
      <c r="N28" s="132"/>
      <c r="O28" s="132"/>
      <c r="P28" s="132"/>
      <c r="Q28" s="132"/>
    </row>
    <row r="29" spans="1:17" ht="18" x14ac:dyDescent="0.25">
      <c r="A29" s="132"/>
      <c r="B29" s="820" t="s">
        <v>610</v>
      </c>
      <c r="C29" s="132"/>
      <c r="D29" s="132"/>
      <c r="E29" s="132"/>
      <c r="F29" s="132"/>
      <c r="G29" s="132"/>
      <c r="H29" s="819"/>
      <c r="I29" s="819"/>
      <c r="J29" s="819"/>
      <c r="K29" s="819"/>
      <c r="L29" s="819" t="s">
        <v>599</v>
      </c>
      <c r="M29" s="132"/>
      <c r="N29" s="132"/>
      <c r="O29" s="132"/>
      <c r="P29" s="132"/>
      <c r="Q29" s="132"/>
    </row>
    <row r="30" spans="1:17" ht="18" x14ac:dyDescent="0.25">
      <c r="A30" s="132"/>
      <c r="B30" s="132"/>
      <c r="C30" s="132"/>
      <c r="D30" s="132"/>
      <c r="E30" s="132"/>
      <c r="F30" s="132"/>
      <c r="G30" s="132"/>
      <c r="H30" s="819"/>
      <c r="I30" s="819"/>
      <c r="J30" s="819"/>
      <c r="K30" s="819"/>
      <c r="L30" s="132"/>
      <c r="M30" s="132"/>
      <c r="N30" s="132"/>
      <c r="O30" s="132"/>
      <c r="P30" s="132"/>
      <c r="Q30" s="132"/>
    </row>
    <row r="31" spans="1:17" ht="18" x14ac:dyDescent="0.25">
      <c r="A31" s="132"/>
      <c r="B31" s="132"/>
      <c r="C31" s="132"/>
      <c r="D31" s="132"/>
      <c r="E31" s="132"/>
      <c r="F31" s="132"/>
      <c r="G31" s="132"/>
      <c r="H31" s="819"/>
      <c r="I31" s="819"/>
      <c r="J31" s="819"/>
      <c r="K31" s="819"/>
      <c r="L31" s="819"/>
      <c r="M31" s="132"/>
      <c r="N31" s="132"/>
      <c r="O31" s="132"/>
      <c r="P31" s="132"/>
      <c r="Q31" s="132"/>
    </row>
    <row r="32" spans="1:17" ht="18" x14ac:dyDescent="0.25">
      <c r="A32" s="132"/>
      <c r="B32" s="684"/>
      <c r="C32" s="684"/>
      <c r="D32" s="684"/>
      <c r="E32" s="684"/>
      <c r="F32" s="132"/>
      <c r="G32" s="132"/>
      <c r="H32" s="132"/>
      <c r="I32" s="819"/>
      <c r="J32" s="819"/>
      <c r="K32" s="132"/>
      <c r="L32" s="819" t="s">
        <v>600</v>
      </c>
      <c r="M32" s="132"/>
      <c r="N32" s="132"/>
      <c r="O32" s="132"/>
      <c r="P32" s="132"/>
      <c r="Q32" s="132"/>
    </row>
    <row r="33" spans="1:17" x14ac:dyDescent="0.2">
      <c r="A33" s="132"/>
      <c r="B33" s="132"/>
      <c r="C33" s="132"/>
      <c r="D33" s="132"/>
      <c r="E33" s="132"/>
      <c r="F33" s="132"/>
      <c r="G33" s="132"/>
      <c r="H33" s="132"/>
      <c r="I33" s="132"/>
      <c r="J33" s="132"/>
      <c r="K33" s="132"/>
      <c r="L33" s="132"/>
      <c r="M33" s="132"/>
      <c r="N33" s="132"/>
      <c r="O33" s="132"/>
      <c r="P33" s="132"/>
      <c r="Q33" s="132"/>
    </row>
    <row r="34" spans="1:17" x14ac:dyDescent="0.2">
      <c r="A34" s="132"/>
      <c r="B34" s="132"/>
      <c r="C34" s="132"/>
      <c r="D34" s="132"/>
      <c r="E34" s="132"/>
      <c r="F34" s="132"/>
      <c r="G34" s="132"/>
      <c r="H34" s="132"/>
      <c r="I34" s="132"/>
      <c r="J34" s="132"/>
      <c r="K34" s="132"/>
      <c r="L34" s="132"/>
      <c r="M34" s="132"/>
      <c r="N34" s="132"/>
      <c r="O34" s="132"/>
      <c r="P34" s="132"/>
      <c r="Q34" s="132"/>
    </row>
    <row r="35" spans="1:17" x14ac:dyDescent="0.2">
      <c r="A35" s="132"/>
      <c r="B35" s="132"/>
      <c r="C35" s="132"/>
      <c r="D35" s="132"/>
      <c r="E35" s="132"/>
      <c r="F35" s="132"/>
      <c r="G35" s="132"/>
      <c r="H35" s="132"/>
      <c r="I35" s="132"/>
      <c r="J35" s="132"/>
      <c r="K35" s="132"/>
      <c r="L35" s="132"/>
      <c r="M35" s="132"/>
      <c r="N35" s="132"/>
      <c r="O35" s="132"/>
      <c r="P35" s="132"/>
      <c r="Q35" s="132"/>
    </row>
    <row r="36" spans="1:17" x14ac:dyDescent="0.2">
      <c r="A36" s="132"/>
      <c r="B36" s="132"/>
      <c r="C36" s="132"/>
      <c r="D36" s="132"/>
      <c r="E36" s="132"/>
      <c r="F36" s="132"/>
      <c r="G36" s="132"/>
      <c r="H36" s="132"/>
      <c r="I36" s="132"/>
      <c r="J36" s="132"/>
      <c r="K36" s="132"/>
      <c r="L36" s="132"/>
      <c r="M36" s="132"/>
      <c r="N36" s="132"/>
      <c r="O36" s="132"/>
      <c r="P36" s="132"/>
      <c r="Q36" s="132"/>
    </row>
    <row r="37" spans="1:17" x14ac:dyDescent="0.2">
      <c r="A37" s="132"/>
      <c r="B37" s="132"/>
      <c r="C37" s="132"/>
      <c r="D37" s="132"/>
      <c r="E37" s="132"/>
      <c r="F37" s="132"/>
      <c r="G37" s="132"/>
      <c r="H37" s="132"/>
      <c r="I37" s="132"/>
      <c r="J37" s="132"/>
      <c r="K37" s="132"/>
      <c r="L37" s="132"/>
      <c r="M37" s="132"/>
      <c r="N37" s="132"/>
      <c r="O37" s="132"/>
      <c r="P37" s="132"/>
      <c r="Q37" s="132"/>
    </row>
    <row r="38" spans="1:17" x14ac:dyDescent="0.2">
      <c r="A38" s="132"/>
      <c r="B38" s="132"/>
      <c r="C38" s="132"/>
      <c r="D38" s="132"/>
      <c r="E38" s="132"/>
      <c r="F38" s="132"/>
      <c r="G38" s="132"/>
      <c r="H38" s="132"/>
      <c r="I38" s="132"/>
      <c r="J38" s="132"/>
      <c r="K38" s="132"/>
      <c r="L38" s="132"/>
      <c r="M38" s="132"/>
      <c r="N38" s="132"/>
      <c r="O38" s="132"/>
      <c r="P38" s="132"/>
      <c r="Q38" s="132"/>
    </row>
    <row r="39" spans="1:17" x14ac:dyDescent="0.2">
      <c r="A39" s="132"/>
      <c r="B39" s="132"/>
      <c r="C39" s="132"/>
      <c r="D39" s="132"/>
      <c r="E39" s="132"/>
      <c r="F39" s="132"/>
      <c r="G39" s="132"/>
      <c r="H39" s="132"/>
      <c r="I39" s="132"/>
      <c r="J39" s="132"/>
      <c r="K39" s="132"/>
      <c r="L39" s="132"/>
      <c r="M39" s="132"/>
      <c r="N39" s="132"/>
      <c r="O39" s="132"/>
      <c r="P39" s="132"/>
      <c r="Q39" s="132"/>
    </row>
    <row r="40" spans="1:17" x14ac:dyDescent="0.2">
      <c r="A40" s="132"/>
      <c r="B40" s="132"/>
      <c r="C40" s="132"/>
      <c r="D40" s="132"/>
      <c r="E40" s="132"/>
      <c r="F40" s="132"/>
      <c r="G40" s="132"/>
      <c r="H40" s="132"/>
      <c r="I40" s="132"/>
      <c r="J40" s="132"/>
      <c r="K40" s="132"/>
      <c r="L40" s="132"/>
      <c r="M40" s="132"/>
      <c r="N40" s="132"/>
      <c r="O40" s="132"/>
      <c r="P40" s="132"/>
      <c r="Q40" s="132"/>
    </row>
    <row r="41" spans="1:17" x14ac:dyDescent="0.2">
      <c r="A41" s="132"/>
      <c r="B41" s="132"/>
      <c r="C41" s="132"/>
      <c r="D41" s="132"/>
      <c r="E41" s="132"/>
      <c r="F41" s="132"/>
      <c r="G41" s="132"/>
      <c r="H41" s="132"/>
      <c r="I41" s="132"/>
      <c r="J41" s="132"/>
      <c r="K41" s="132"/>
      <c r="L41" s="132"/>
      <c r="M41" s="132"/>
      <c r="N41" s="132"/>
      <c r="O41" s="132"/>
      <c r="P41" s="132"/>
      <c r="Q41" s="132"/>
    </row>
    <row r="42" spans="1:17" x14ac:dyDescent="0.2">
      <c r="A42" s="132"/>
      <c r="B42" s="132"/>
      <c r="C42" s="132"/>
      <c r="D42" s="132"/>
      <c r="E42" s="132"/>
      <c r="F42" s="132"/>
      <c r="G42" s="132"/>
      <c r="H42" s="132"/>
      <c r="I42" s="132"/>
      <c r="J42" s="132"/>
      <c r="K42" s="132"/>
      <c r="L42" s="132"/>
      <c r="M42" s="132"/>
      <c r="N42" s="132"/>
      <c r="O42" s="132"/>
      <c r="P42" s="132"/>
      <c r="Q42" s="132"/>
    </row>
    <row r="43" spans="1:17" x14ac:dyDescent="0.2">
      <c r="A43" s="132"/>
      <c r="B43" s="132"/>
      <c r="C43" s="132"/>
      <c r="D43" s="132"/>
      <c r="E43" s="132"/>
      <c r="F43" s="132"/>
      <c r="G43" s="132"/>
      <c r="H43" s="132"/>
      <c r="I43" s="132"/>
      <c r="J43" s="132"/>
      <c r="K43" s="132"/>
      <c r="L43" s="132"/>
      <c r="M43" s="132"/>
      <c r="N43" s="132"/>
      <c r="O43" s="132"/>
      <c r="P43" s="132"/>
      <c r="Q43" s="132"/>
    </row>
    <row r="44" spans="1:17" x14ac:dyDescent="0.2">
      <c r="A44" s="132"/>
      <c r="B44" s="132"/>
      <c r="C44" s="132"/>
      <c r="D44" s="132"/>
      <c r="E44" s="132"/>
      <c r="F44" s="132"/>
      <c r="G44" s="132"/>
      <c r="H44" s="132"/>
      <c r="I44" s="132"/>
      <c r="J44" s="132"/>
      <c r="K44" s="132"/>
      <c r="L44" s="132"/>
      <c r="M44" s="132"/>
      <c r="N44" s="132"/>
      <c r="O44" s="132"/>
      <c r="P44" s="132"/>
      <c r="Q44" s="132"/>
    </row>
    <row r="45" spans="1:17" x14ac:dyDescent="0.2">
      <c r="A45" s="132"/>
      <c r="B45" s="132"/>
      <c r="C45" s="132"/>
      <c r="D45" s="132"/>
      <c r="E45" s="132"/>
      <c r="F45" s="132"/>
      <c r="G45" s="132"/>
      <c r="H45" s="132"/>
      <c r="I45" s="132"/>
      <c r="J45" s="132"/>
      <c r="K45" s="132"/>
      <c r="L45" s="132"/>
      <c r="M45" s="132"/>
      <c r="N45" s="132"/>
      <c r="O45" s="132"/>
      <c r="P45" s="132"/>
      <c r="Q45" s="132"/>
    </row>
    <row r="46" spans="1:17" x14ac:dyDescent="0.2">
      <c r="A46" s="132"/>
      <c r="B46" s="132"/>
      <c r="C46" s="132"/>
      <c r="D46" s="132"/>
      <c r="E46" s="132"/>
      <c r="F46" s="132"/>
      <c r="G46" s="132"/>
      <c r="H46" s="132"/>
      <c r="I46" s="132"/>
      <c r="J46" s="132"/>
      <c r="K46" s="132"/>
      <c r="L46" s="132"/>
      <c r="M46" s="132"/>
      <c r="N46" s="132"/>
      <c r="O46" s="132"/>
      <c r="P46" s="132"/>
      <c r="Q46" s="132"/>
    </row>
    <row r="47" spans="1:17" x14ac:dyDescent="0.2">
      <c r="A47" s="132"/>
      <c r="B47" s="132"/>
      <c r="C47" s="132"/>
      <c r="D47" s="132"/>
      <c r="E47" s="132"/>
      <c r="F47" s="132"/>
      <c r="G47" s="132"/>
      <c r="H47" s="132"/>
      <c r="I47" s="132"/>
      <c r="J47" s="132"/>
      <c r="K47" s="132"/>
      <c r="L47" s="132"/>
      <c r="M47" s="132"/>
      <c r="N47" s="132"/>
      <c r="O47" s="132"/>
      <c r="P47" s="132"/>
      <c r="Q47" s="132"/>
    </row>
    <row r="48" spans="1:17" x14ac:dyDescent="0.2">
      <c r="A48" s="132"/>
      <c r="B48" s="132"/>
      <c r="C48" s="132"/>
      <c r="D48" s="132"/>
      <c r="E48" s="132"/>
      <c r="F48" s="132"/>
      <c r="G48" s="132"/>
      <c r="H48" s="132"/>
      <c r="I48" s="132"/>
      <c r="J48" s="132"/>
      <c r="K48" s="132"/>
      <c r="L48" s="132"/>
      <c r="M48" s="132"/>
      <c r="N48" s="132"/>
      <c r="O48" s="132"/>
      <c r="P48" s="132"/>
      <c r="Q48" s="132"/>
    </row>
    <row r="49" spans="1:17" x14ac:dyDescent="0.2">
      <c r="A49" s="132"/>
      <c r="B49" s="132"/>
      <c r="C49" s="132"/>
      <c r="D49" s="132"/>
      <c r="E49" s="132"/>
      <c r="F49" s="132"/>
      <c r="G49" s="132"/>
      <c r="H49" s="132"/>
      <c r="I49" s="132"/>
      <c r="J49" s="132"/>
      <c r="K49" s="132"/>
      <c r="L49" s="132"/>
      <c r="M49" s="132"/>
      <c r="N49" s="132"/>
      <c r="O49" s="132"/>
      <c r="P49" s="132"/>
      <c r="Q49" s="132"/>
    </row>
    <row r="50" spans="1:17" x14ac:dyDescent="0.2">
      <c r="A50" s="132"/>
      <c r="B50" s="132"/>
      <c r="C50" s="132"/>
      <c r="D50" s="132"/>
      <c r="E50" s="132"/>
      <c r="F50" s="132"/>
      <c r="G50" s="132"/>
      <c r="H50" s="132"/>
      <c r="I50" s="132"/>
      <c r="J50" s="132"/>
      <c r="K50" s="132"/>
      <c r="L50" s="132"/>
      <c r="M50" s="132"/>
      <c r="N50" s="132"/>
      <c r="O50" s="132"/>
      <c r="P50" s="132"/>
      <c r="Q50" s="132"/>
    </row>
    <row r="51" spans="1:17" x14ac:dyDescent="0.2">
      <c r="A51" s="132"/>
      <c r="B51" s="132"/>
      <c r="C51" s="132"/>
      <c r="D51" s="132"/>
      <c r="E51" s="132"/>
      <c r="F51" s="132"/>
      <c r="G51" s="132"/>
      <c r="H51" s="132"/>
      <c r="I51" s="132"/>
      <c r="J51" s="132"/>
      <c r="K51" s="132"/>
      <c r="L51" s="132"/>
      <c r="M51" s="132"/>
      <c r="N51" s="132"/>
      <c r="O51" s="132"/>
      <c r="P51" s="132"/>
      <c r="Q51" s="132"/>
    </row>
    <row r="52" spans="1:17" x14ac:dyDescent="0.2">
      <c r="A52" s="132"/>
      <c r="B52" s="132"/>
      <c r="C52" s="132"/>
      <c r="D52" s="132"/>
      <c r="E52" s="132"/>
      <c r="F52" s="132"/>
      <c r="G52" s="132"/>
      <c r="H52" s="132"/>
      <c r="I52" s="132"/>
      <c r="J52" s="132"/>
      <c r="K52" s="132"/>
      <c r="L52" s="132"/>
      <c r="M52" s="132"/>
      <c r="N52" s="132"/>
      <c r="O52" s="132"/>
      <c r="P52" s="132"/>
      <c r="Q52" s="132"/>
    </row>
    <row r="53" spans="1:17" x14ac:dyDescent="0.2">
      <c r="A53" s="132"/>
      <c r="B53" s="132"/>
      <c r="C53" s="132"/>
      <c r="D53" s="132"/>
      <c r="E53" s="132"/>
      <c r="F53" s="132"/>
      <c r="G53" s="132"/>
      <c r="H53" s="132"/>
      <c r="I53" s="132"/>
      <c r="J53" s="132"/>
      <c r="K53" s="132"/>
      <c r="L53" s="132"/>
      <c r="M53" s="132"/>
      <c r="N53" s="132"/>
      <c r="O53" s="132"/>
      <c r="P53" s="132"/>
      <c r="Q53" s="132"/>
    </row>
    <row r="54" spans="1:17" x14ac:dyDescent="0.2">
      <c r="A54" s="132"/>
      <c r="B54" s="132"/>
      <c r="C54" s="132"/>
      <c r="D54" s="132"/>
      <c r="E54" s="132"/>
      <c r="F54" s="132"/>
      <c r="G54" s="132"/>
      <c r="H54" s="132"/>
      <c r="I54" s="132"/>
      <c r="J54" s="132"/>
      <c r="K54" s="132"/>
      <c r="L54" s="132"/>
      <c r="M54" s="132"/>
      <c r="N54" s="132"/>
      <c r="O54" s="132"/>
      <c r="P54" s="132"/>
      <c r="Q54" s="132"/>
    </row>
    <row r="55" spans="1:17" x14ac:dyDescent="0.2">
      <c r="A55" s="132"/>
      <c r="B55" s="132"/>
      <c r="C55" s="132"/>
      <c r="D55" s="132"/>
      <c r="E55" s="132"/>
      <c r="F55" s="132"/>
      <c r="G55" s="132"/>
      <c r="I55" s="132"/>
      <c r="J55" s="132"/>
      <c r="K55" s="132"/>
      <c r="L55" s="132"/>
      <c r="M55" s="132"/>
      <c r="N55" s="132"/>
      <c r="O55" s="132"/>
      <c r="P55" s="132"/>
      <c r="Q55" s="132"/>
    </row>
    <row r="56" spans="1:17" x14ac:dyDescent="0.2">
      <c r="A56" s="132"/>
      <c r="B56" s="132"/>
      <c r="C56" s="132"/>
      <c r="D56" s="132"/>
      <c r="E56" s="132"/>
      <c r="F56" s="132"/>
      <c r="G56" s="132"/>
      <c r="I56" s="132"/>
      <c r="J56" s="132"/>
      <c r="K56" s="132"/>
      <c r="L56" s="132"/>
      <c r="M56" s="132"/>
      <c r="N56" s="132"/>
      <c r="O56" s="132"/>
      <c r="P56" s="132"/>
      <c r="Q56" s="132"/>
    </row>
  </sheetData>
  <sheetProtection password="C1BB" sheet="1" selectLockedCells="1"/>
  <mergeCells count="2">
    <mergeCell ref="A4:M4"/>
    <mergeCell ref="D5:F5"/>
  </mergeCells>
  <phoneticPr fontId="87" type="noConversion"/>
  <pageMargins left="0.75" right="0.75" top="1" bottom="1" header="0.5" footer="0.5"/>
  <pageSetup paperSize="9" scale="60" orientation="portrait" horizontalDpi="4294967293" r:id="rId1"/>
  <headerFooter alignWithMargins="0"/>
  <drawing r:id="rId2"/>
  <legacyDrawing r:id="rId3"/>
  <controls>
    <mc:AlternateContent xmlns:mc="http://schemas.openxmlformats.org/markup-compatibility/2006">
      <mc:Choice Requires="x14">
        <control shapeId="29705" r:id="rId4" name="CommandButton5">
          <controlPr defaultSize="0" autoLine="0" r:id="rId5">
            <anchor moveWithCells="1">
              <from>
                <xdr:col>6</xdr:col>
                <xdr:colOff>38100</xdr:colOff>
                <xdr:row>30</xdr:row>
                <xdr:rowOff>19050</xdr:rowOff>
              </from>
              <to>
                <xdr:col>10</xdr:col>
                <xdr:colOff>676275</xdr:colOff>
                <xdr:row>32</xdr:row>
                <xdr:rowOff>57150</xdr:rowOff>
              </to>
            </anchor>
          </controlPr>
        </control>
      </mc:Choice>
      <mc:Fallback>
        <control shapeId="29705" r:id="rId4" name="CommandButton5"/>
      </mc:Fallback>
    </mc:AlternateContent>
    <mc:AlternateContent xmlns:mc="http://schemas.openxmlformats.org/markup-compatibility/2006">
      <mc:Choice Requires="x14">
        <control shapeId="29704" r:id="rId6" name="CommandButton4">
          <controlPr defaultSize="0" autoLine="0" r:id="rId7">
            <anchor moveWithCells="1">
              <from>
                <xdr:col>6</xdr:col>
                <xdr:colOff>19050</xdr:colOff>
                <xdr:row>27</xdr:row>
                <xdr:rowOff>76200</xdr:rowOff>
              </from>
              <to>
                <xdr:col>10</xdr:col>
                <xdr:colOff>676275</xdr:colOff>
                <xdr:row>29</xdr:row>
                <xdr:rowOff>114300</xdr:rowOff>
              </to>
            </anchor>
          </controlPr>
        </control>
      </mc:Choice>
      <mc:Fallback>
        <control shapeId="29704" r:id="rId6" name="CommandButton4"/>
      </mc:Fallback>
    </mc:AlternateContent>
    <mc:AlternateContent xmlns:mc="http://schemas.openxmlformats.org/markup-compatibility/2006">
      <mc:Choice Requires="x14">
        <control shapeId="29701" r:id="rId8" name="CommandButton3">
          <controlPr defaultSize="0" autoLine="0" r:id="rId9">
            <anchor moveWithCells="1">
              <from>
                <xdr:col>1</xdr:col>
                <xdr:colOff>495300</xdr:colOff>
                <xdr:row>29</xdr:row>
                <xdr:rowOff>190500</xdr:rowOff>
              </from>
              <to>
                <xdr:col>5</xdr:col>
                <xdr:colOff>523875</xdr:colOff>
                <xdr:row>31</xdr:row>
                <xdr:rowOff>180975</xdr:rowOff>
              </to>
            </anchor>
          </controlPr>
        </control>
      </mc:Choice>
      <mc:Fallback>
        <control shapeId="29701" r:id="rId8" name="CommandButton3"/>
      </mc:Fallback>
    </mc:AlternateContent>
    <mc:AlternateContent xmlns:mc="http://schemas.openxmlformats.org/markup-compatibility/2006">
      <mc:Choice Requires="x14">
        <control shapeId="29700" r:id="rId10" name="CommandButton2">
          <controlPr defaultSize="0" autoFill="0" autoLine="0" r:id="rId11">
            <anchor moveWithCells="1">
              <from>
                <xdr:col>0</xdr:col>
                <xdr:colOff>85725</xdr:colOff>
                <xdr:row>16</xdr:row>
                <xdr:rowOff>66675</xdr:rowOff>
              </from>
              <to>
                <xdr:col>2</xdr:col>
                <xdr:colOff>466725</xdr:colOff>
                <xdr:row>19</xdr:row>
                <xdr:rowOff>95250</xdr:rowOff>
              </to>
            </anchor>
          </controlPr>
        </control>
      </mc:Choice>
      <mc:Fallback>
        <control shapeId="29700" r:id="rId10" name="CommandButton2"/>
      </mc:Fallback>
    </mc:AlternateContent>
    <mc:AlternateContent xmlns:mc="http://schemas.openxmlformats.org/markup-compatibility/2006">
      <mc:Choice Requires="x14">
        <control shapeId="29699" r:id="rId12" name="CommandButton1">
          <controlPr defaultSize="0" autoLine="0" r:id="rId13">
            <anchor moveWithCells="1">
              <from>
                <xdr:col>8</xdr:col>
                <xdr:colOff>466725</xdr:colOff>
                <xdr:row>16</xdr:row>
                <xdr:rowOff>76200</xdr:rowOff>
              </from>
              <to>
                <xdr:col>12</xdr:col>
                <xdr:colOff>495300</xdr:colOff>
                <xdr:row>19</xdr:row>
                <xdr:rowOff>85725</xdr:rowOff>
              </to>
            </anchor>
          </controlPr>
        </control>
      </mc:Choice>
      <mc:Fallback>
        <control shapeId="29699" r:id="rId12" name="CommandButton1"/>
      </mc:Fallback>
    </mc:AlternateContent>
    <mc:AlternateContent xmlns:mc="http://schemas.openxmlformats.org/markup-compatibility/2006">
      <mc:Choice Requires="x14">
        <control shapeId="6147" r:id="rId14" name="cmdStart">
          <controlPr defaultSize="0" autoFill="0" autoLine="0" r:id="rId15">
            <anchor moveWithCells="1">
              <from>
                <xdr:col>4</xdr:col>
                <xdr:colOff>19050</xdr:colOff>
                <xdr:row>16</xdr:row>
                <xdr:rowOff>28575</xdr:rowOff>
              </from>
              <to>
                <xdr:col>7</xdr:col>
                <xdr:colOff>180975</xdr:colOff>
                <xdr:row>19</xdr:row>
                <xdr:rowOff>95250</xdr:rowOff>
              </to>
            </anchor>
          </controlPr>
        </control>
      </mc:Choice>
      <mc:Fallback>
        <control shapeId="6147" r:id="rId14" name="cmdStart"/>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Q89"/>
  <sheetViews>
    <sheetView topLeftCell="A2" zoomScale="80" zoomScaleNormal="80" workbookViewId="0">
      <selection activeCell="B3" sqref="B3:C3"/>
    </sheetView>
  </sheetViews>
  <sheetFormatPr defaultRowHeight="14.25" x14ac:dyDescent="0.2"/>
  <cols>
    <col min="1" max="1" width="41.42578125" style="68" customWidth="1"/>
    <col min="2" max="2" width="15.140625" style="68" customWidth="1"/>
    <col min="3" max="3" width="8.7109375" style="68" customWidth="1"/>
    <col min="4" max="4" width="20.85546875" style="68" customWidth="1"/>
    <col min="5" max="5" width="13.42578125" style="68" customWidth="1"/>
    <col min="6" max="6" width="1.5703125" style="68" customWidth="1"/>
    <col min="7" max="7" width="3.140625" style="68" customWidth="1"/>
    <col min="8" max="8" width="30.28515625" style="68" customWidth="1"/>
    <col min="9" max="9" width="18.140625" style="68" customWidth="1"/>
    <col min="10" max="10" width="6.5703125" style="68" customWidth="1"/>
    <col min="11" max="11" width="9" style="68" customWidth="1"/>
    <col min="12" max="12" width="2.140625" style="68" customWidth="1"/>
    <col min="13" max="13" width="22.85546875" style="68" customWidth="1"/>
    <col min="14" max="14" width="10.140625" style="68" customWidth="1"/>
    <col min="15" max="15" width="12.140625" style="68" customWidth="1"/>
    <col min="16" max="16" width="13.85546875" style="68" customWidth="1"/>
    <col min="17" max="17" width="13.42578125" style="68" customWidth="1"/>
    <col min="18" max="16384" width="9.140625" style="68"/>
  </cols>
  <sheetData>
    <row r="1" spans="1:17" ht="35.25" customHeight="1" thickBot="1" x14ac:dyDescent="0.55000000000000004">
      <c r="A1" s="896" t="s">
        <v>539</v>
      </c>
      <c r="B1" s="897"/>
      <c r="C1" s="897"/>
      <c r="D1" s="897"/>
      <c r="E1" s="897"/>
      <c r="F1" s="897"/>
      <c r="G1" s="897"/>
      <c r="H1" s="897"/>
      <c r="I1" s="897"/>
      <c r="J1" s="897"/>
      <c r="K1" s="897"/>
      <c r="L1" s="897"/>
      <c r="M1" s="897"/>
      <c r="N1" s="897"/>
      <c r="O1" s="897"/>
      <c r="P1" s="67"/>
      <c r="Q1" s="67"/>
    </row>
    <row r="2" spans="1:17" ht="23.25" customHeight="1" x14ac:dyDescent="0.25">
      <c r="A2" s="898" t="s">
        <v>278</v>
      </c>
      <c r="B2" s="899"/>
      <c r="C2" s="899"/>
      <c r="D2" s="118"/>
      <c r="E2" s="118"/>
      <c r="F2" s="118"/>
      <c r="G2" s="118"/>
      <c r="H2" s="900" t="s">
        <v>79</v>
      </c>
      <c r="I2" s="901"/>
      <c r="J2" s="901"/>
      <c r="K2" s="902"/>
      <c r="L2" s="82"/>
      <c r="M2" s="155" t="s">
        <v>80</v>
      </c>
      <c r="N2" s="156"/>
      <c r="O2" s="157"/>
      <c r="P2" s="67"/>
      <c r="Q2" s="67"/>
    </row>
    <row r="3" spans="1:17" ht="18" customHeight="1" x14ac:dyDescent="0.25">
      <c r="A3" s="273" t="s">
        <v>431</v>
      </c>
      <c r="B3" s="894" t="str">
        <f>VLOOKUP(E3,A50:C55,2,FALSE)</f>
        <v>Merino</v>
      </c>
      <c r="C3" s="895"/>
      <c r="E3" s="373">
        <v>3</v>
      </c>
      <c r="F3" s="69"/>
      <c r="G3" s="71"/>
      <c r="H3" s="169"/>
      <c r="I3" s="170"/>
      <c r="J3" s="229" t="s">
        <v>159</v>
      </c>
      <c r="K3" s="230" t="s">
        <v>271</v>
      </c>
      <c r="L3" s="82"/>
      <c r="M3" s="113" t="s">
        <v>94</v>
      </c>
      <c r="N3" s="234" t="s">
        <v>447</v>
      </c>
      <c r="O3" s="227">
        <f>+ProfitLoss!G21</f>
        <v>790609</v>
      </c>
      <c r="P3" s="67"/>
      <c r="Q3" s="67"/>
    </row>
    <row r="4" spans="1:17" ht="18" customHeight="1" x14ac:dyDescent="0.25">
      <c r="A4" s="369" t="s">
        <v>432</v>
      </c>
      <c r="B4" s="370"/>
      <c r="C4" s="277">
        <v>5000</v>
      </c>
      <c r="D4" s="69"/>
      <c r="E4" s="372"/>
      <c r="F4" s="69"/>
      <c r="G4" s="69"/>
      <c r="H4" s="125" t="s">
        <v>163</v>
      </c>
      <c r="I4" s="235" t="s">
        <v>182</v>
      </c>
      <c r="J4" s="231">
        <f>(C5+C9)*C16*0.01/2</f>
        <v>1.54</v>
      </c>
      <c r="K4" s="232">
        <f>J4*100/$J$19</f>
        <v>1.711111111111111</v>
      </c>
      <c r="L4" s="82"/>
      <c r="M4" s="113" t="s">
        <v>448</v>
      </c>
      <c r="N4" s="234" t="s">
        <v>447</v>
      </c>
      <c r="O4" s="227">
        <f>+ProfitLoss!G61</f>
        <v>780268.78659491183</v>
      </c>
      <c r="P4" s="67"/>
      <c r="Q4" s="67"/>
    </row>
    <row r="5" spans="1:17" ht="18" customHeight="1" x14ac:dyDescent="0.25">
      <c r="A5" s="331" t="s">
        <v>433</v>
      </c>
      <c r="B5" s="274" t="s">
        <v>434</v>
      </c>
      <c r="C5" s="429">
        <v>38</v>
      </c>
      <c r="D5" s="69"/>
      <c r="E5" s="69"/>
      <c r="F5" s="69"/>
      <c r="G5" s="71"/>
      <c r="H5" s="125" t="s">
        <v>4</v>
      </c>
      <c r="I5" s="235" t="s">
        <v>518</v>
      </c>
      <c r="J5" s="233">
        <f>IF($D$15&lt;0.01,"",J4*1000/$D$15)</f>
        <v>5.5</v>
      </c>
      <c r="K5" s="423">
        <f>IF($D$15&lt;0.01,"",K4*1000/$D$15)</f>
        <v>6.1111111111111107</v>
      </c>
      <c r="L5" s="82"/>
      <c r="M5" s="113" t="s">
        <v>32</v>
      </c>
      <c r="N5" s="234" t="s">
        <v>447</v>
      </c>
      <c r="O5" s="227">
        <f>+O3-O4</f>
        <v>10340.213405088172</v>
      </c>
      <c r="P5" s="67"/>
      <c r="Q5" s="67"/>
    </row>
    <row r="6" spans="1:17" ht="18" customHeight="1" x14ac:dyDescent="0.25">
      <c r="A6" s="331" t="s">
        <v>352</v>
      </c>
      <c r="B6" s="274" t="s">
        <v>354</v>
      </c>
      <c r="C6" s="430"/>
      <c r="D6" s="69"/>
      <c r="E6" s="69"/>
      <c r="F6" s="69"/>
      <c r="G6" s="71"/>
      <c r="H6" s="168" t="s">
        <v>358</v>
      </c>
      <c r="I6" s="229" t="s">
        <v>306</v>
      </c>
      <c r="J6" s="229">
        <f>K6*0.01*J19</f>
        <v>69.300000000000011</v>
      </c>
      <c r="K6" s="230">
        <f>Rations!L77</f>
        <v>77.000000000000014</v>
      </c>
      <c r="L6" s="82"/>
      <c r="M6" s="115"/>
      <c r="N6" s="72"/>
      <c r="O6" s="482"/>
      <c r="P6" s="67"/>
      <c r="Q6" s="67"/>
    </row>
    <row r="7" spans="1:17" ht="18" customHeight="1" x14ac:dyDescent="0.25">
      <c r="A7" s="331" t="s">
        <v>353</v>
      </c>
      <c r="B7" s="274" t="s">
        <v>435</v>
      </c>
      <c r="C7" s="430"/>
      <c r="D7" s="891" t="s">
        <v>355</v>
      </c>
      <c r="E7" s="891"/>
      <c r="F7" s="891"/>
      <c r="G7" s="892"/>
      <c r="H7" s="125" t="s">
        <v>15</v>
      </c>
      <c r="I7" s="235" t="s">
        <v>77</v>
      </c>
      <c r="J7" s="887">
        <f>+C9-C5</f>
        <v>12</v>
      </c>
      <c r="K7" s="888"/>
      <c r="L7" s="82"/>
      <c r="M7" s="113" t="s">
        <v>449</v>
      </c>
      <c r="N7" s="234" t="s">
        <v>450</v>
      </c>
      <c r="O7" s="483">
        <f>+O3/C4</f>
        <v>158.12180000000001</v>
      </c>
      <c r="P7" s="67"/>
      <c r="Q7" s="67"/>
    </row>
    <row r="8" spans="1:17" ht="18" customHeight="1" thickBot="1" x14ac:dyDescent="0.3">
      <c r="A8" s="299" t="s">
        <v>436</v>
      </c>
      <c r="B8" s="274" t="s">
        <v>58</v>
      </c>
      <c r="C8" s="428">
        <v>113</v>
      </c>
      <c r="D8" s="172">
        <f>IF(C8&gt;0.1,C8,C5*C6+C7)</f>
        <v>113</v>
      </c>
      <c r="E8" s="71"/>
      <c r="F8" s="71"/>
      <c r="G8" s="71"/>
      <c r="H8" s="137" t="s">
        <v>78</v>
      </c>
      <c r="I8" s="223" t="s">
        <v>1</v>
      </c>
      <c r="J8" s="889">
        <f>IF(C15&gt;1,C15,J7*1000/C14)</f>
        <v>42.857142857142854</v>
      </c>
      <c r="K8" s="890"/>
      <c r="L8" s="82"/>
      <c r="M8" s="113" t="s">
        <v>451</v>
      </c>
      <c r="N8" s="234" t="s">
        <v>450</v>
      </c>
      <c r="O8" s="483">
        <f>+O4/C4</f>
        <v>156.05375731898238</v>
      </c>
      <c r="P8" s="67"/>
      <c r="Q8" s="67"/>
    </row>
    <row r="9" spans="1:17" ht="18" customHeight="1" x14ac:dyDescent="0.25">
      <c r="A9" s="331" t="s">
        <v>437</v>
      </c>
      <c r="B9" s="274" t="s">
        <v>438</v>
      </c>
      <c r="C9" s="277">
        <v>50</v>
      </c>
      <c r="D9" s="69"/>
      <c r="E9" s="69"/>
      <c r="F9" s="69"/>
      <c r="G9" s="69"/>
      <c r="H9" s="82"/>
      <c r="I9" s="82"/>
      <c r="J9" s="82"/>
      <c r="K9" s="82"/>
      <c r="L9" s="82"/>
      <c r="M9" s="116" t="s">
        <v>362</v>
      </c>
      <c r="N9" s="117"/>
      <c r="O9" s="484">
        <f>IF(D16&lt;&gt;"","ERROR 1",IF(J8&lt;1,"ERROR 2",IF(O5/C4&lt;-100,"ERROR 3",IF(O5/C4&gt;100,"ERROR 4",O5/C4))))</f>
        <v>2.0680426810176344</v>
      </c>
      <c r="P9" s="67"/>
      <c r="Q9" s="67"/>
    </row>
    <row r="10" spans="1:17" ht="18" customHeight="1" thickBot="1" x14ac:dyDescent="0.3">
      <c r="A10" s="136" t="s">
        <v>274</v>
      </c>
      <c r="B10" s="274" t="s">
        <v>439</v>
      </c>
      <c r="C10" s="430">
        <v>5.89</v>
      </c>
      <c r="D10" s="69"/>
      <c r="E10" s="69"/>
      <c r="F10" s="69"/>
      <c r="G10" s="69"/>
      <c r="H10" s="82"/>
      <c r="I10" s="82"/>
      <c r="J10" s="82"/>
      <c r="K10" s="69"/>
      <c r="L10" s="82"/>
      <c r="M10" s="69"/>
      <c r="N10" s="69"/>
      <c r="O10" s="67"/>
      <c r="P10" s="67"/>
      <c r="Q10" s="67"/>
    </row>
    <row r="11" spans="1:17" ht="18" customHeight="1" x14ac:dyDescent="0.25">
      <c r="A11" s="136" t="s">
        <v>46</v>
      </c>
      <c r="B11" s="274" t="s">
        <v>435</v>
      </c>
      <c r="C11" s="430">
        <v>7</v>
      </c>
      <c r="D11" s="71" t="s">
        <v>356</v>
      </c>
      <c r="E11" s="71"/>
      <c r="F11" s="71"/>
      <c r="G11" s="69"/>
      <c r="H11" s="166" t="s">
        <v>298</v>
      </c>
      <c r="I11" s="165"/>
      <c r="J11" s="167">
        <f>D80</f>
        <v>234.38250000000005</v>
      </c>
      <c r="K11" s="74"/>
      <c r="L11" s="82"/>
      <c r="M11" s="116" t="s">
        <v>299</v>
      </c>
      <c r="N11" s="117"/>
      <c r="O11" s="485">
        <f>(O24+O9)*100/O24-100</f>
        <v>9.1664495413218958</v>
      </c>
      <c r="P11" s="67"/>
      <c r="Q11" s="67"/>
    </row>
    <row r="12" spans="1:17" ht="18" customHeight="1" thickBot="1" x14ac:dyDescent="0.3">
      <c r="A12" s="331" t="s">
        <v>275</v>
      </c>
      <c r="B12" s="274" t="s">
        <v>83</v>
      </c>
      <c r="C12" s="429">
        <v>47</v>
      </c>
      <c r="D12" s="71"/>
      <c r="E12" s="71"/>
      <c r="F12" s="71"/>
      <c r="G12" s="69"/>
      <c r="H12" s="903" t="s">
        <v>351</v>
      </c>
      <c r="I12" s="904"/>
      <c r="J12" s="905"/>
      <c r="K12" s="82"/>
      <c r="L12" s="82"/>
      <c r="M12" s="69"/>
      <c r="N12" s="70"/>
      <c r="O12" s="67"/>
      <c r="P12" s="67"/>
      <c r="Q12" s="67"/>
    </row>
    <row r="13" spans="1:17" ht="18" customHeight="1" x14ac:dyDescent="0.25">
      <c r="A13" s="299" t="s">
        <v>440</v>
      </c>
      <c r="B13" s="274" t="s">
        <v>58</v>
      </c>
      <c r="C13" s="428">
        <v>135.47</v>
      </c>
      <c r="D13" s="73">
        <f>IF(C13&gt;0.1,C13,C9*C12*0.01*C10+C11)</f>
        <v>135.47</v>
      </c>
      <c r="E13" s="69"/>
      <c r="F13" s="69"/>
      <c r="G13" s="69"/>
      <c r="H13" s="82"/>
      <c r="I13" s="82"/>
      <c r="J13" s="82"/>
      <c r="K13" s="82"/>
      <c r="L13" s="82"/>
      <c r="M13" s="155" t="s">
        <v>279</v>
      </c>
      <c r="N13" s="156"/>
      <c r="O13" s="157"/>
      <c r="P13" s="67"/>
      <c r="Q13" s="67"/>
    </row>
    <row r="14" spans="1:17" ht="18" customHeight="1" x14ac:dyDescent="0.25">
      <c r="A14" s="331" t="s">
        <v>268</v>
      </c>
      <c r="B14" s="274" t="s">
        <v>59</v>
      </c>
      <c r="C14" s="427">
        <v>280</v>
      </c>
      <c r="D14" s="71" t="s">
        <v>375</v>
      </c>
      <c r="E14" s="71"/>
      <c r="F14" s="71"/>
      <c r="G14" s="69"/>
      <c r="H14" s="884" t="s">
        <v>81</v>
      </c>
      <c r="I14" s="885"/>
      <c r="J14" s="886"/>
      <c r="K14" s="69"/>
      <c r="L14" s="82"/>
      <c r="M14" s="112" t="s">
        <v>452</v>
      </c>
      <c r="N14" s="235" t="s">
        <v>379</v>
      </c>
      <c r="O14" s="228">
        <f>ProfitLoss!V9</f>
        <v>23.176767676767678</v>
      </c>
      <c r="P14" s="67"/>
      <c r="Q14" s="67"/>
    </row>
    <row r="15" spans="1:17" ht="18" customHeight="1" x14ac:dyDescent="0.25">
      <c r="A15" s="299" t="s">
        <v>378</v>
      </c>
      <c r="B15" s="274" t="s">
        <v>441</v>
      </c>
      <c r="C15" s="431"/>
      <c r="D15" s="174">
        <f>IF(C15&gt;0.1,J7*1000/C15,C14)</f>
        <v>280</v>
      </c>
      <c r="E15" s="106" t="s">
        <v>374</v>
      </c>
      <c r="F15" s="69"/>
      <c r="G15" s="106"/>
      <c r="H15" s="112" t="s">
        <v>143</v>
      </c>
      <c r="I15" s="235" t="s">
        <v>443</v>
      </c>
      <c r="J15" s="227">
        <f>Rations!E32</f>
        <v>280</v>
      </c>
      <c r="K15" s="69"/>
      <c r="L15" s="82"/>
      <c r="M15" s="112" t="s">
        <v>380</v>
      </c>
      <c r="N15" s="235" t="s">
        <v>102</v>
      </c>
      <c r="O15" s="227">
        <f>ProfitLoss!U9</f>
        <v>114725</v>
      </c>
      <c r="P15" s="67"/>
      <c r="Q15" s="67"/>
    </row>
    <row r="16" spans="1:17" ht="18" customHeight="1" x14ac:dyDescent="0.25">
      <c r="A16" s="136" t="s">
        <v>387</v>
      </c>
      <c r="B16" s="274" t="s">
        <v>442</v>
      </c>
      <c r="C16" s="460">
        <v>3.5</v>
      </c>
      <c r="D16" s="173" t="str">
        <f>IF(C15="","",IF(D15&lt;-150,"Growth too Low",IF(D15&gt;500,"Growth Rate too high","")))</f>
        <v/>
      </c>
      <c r="E16" s="173"/>
      <c r="F16" s="173"/>
      <c r="G16" s="69"/>
      <c r="H16" s="112" t="s">
        <v>143</v>
      </c>
      <c r="I16" s="235" t="s">
        <v>144</v>
      </c>
      <c r="J16" s="227">
        <f>Rations!E33</f>
        <v>311.11111111111109</v>
      </c>
      <c r="K16" s="74"/>
      <c r="L16" s="82"/>
      <c r="M16" s="128" t="s">
        <v>381</v>
      </c>
      <c r="N16" s="129"/>
      <c r="O16" s="486">
        <f>ProfitLoss!W9</f>
        <v>5.8453606450207021</v>
      </c>
      <c r="P16" s="67"/>
      <c r="Q16" s="67"/>
    </row>
    <row r="17" spans="1:17" ht="18" customHeight="1" thickBot="1" x14ac:dyDescent="0.3">
      <c r="A17" s="518" t="str">
        <f>IF(E3=6,A87,A88)</f>
        <v/>
      </c>
      <c r="B17" s="515"/>
      <c r="C17" s="516"/>
      <c r="D17" s="607"/>
      <c r="E17" s="607"/>
      <c r="F17" s="607"/>
      <c r="G17" s="69"/>
      <c r="H17" s="112" t="s">
        <v>444</v>
      </c>
      <c r="I17" s="235" t="s">
        <v>607</v>
      </c>
      <c r="J17" s="228">
        <f>Rations!O31</f>
        <v>13</v>
      </c>
      <c r="K17" s="67"/>
      <c r="L17" s="82"/>
      <c r="M17" s="111" t="s">
        <v>382</v>
      </c>
      <c r="N17" s="69"/>
      <c r="O17" s="69"/>
      <c r="P17" s="67"/>
      <c r="Q17" s="67"/>
    </row>
    <row r="18" spans="1:17" ht="18" customHeight="1" thickBot="1" x14ac:dyDescent="0.3">
      <c r="A18" s="371" t="str">
        <f>IF(B18="","","ERROR MESSAGE -CHECK DATA")</f>
        <v/>
      </c>
      <c r="B18" s="368" t="str">
        <f>IF(ISNUMBER(O9),"",IF(ISERROR(O9),"",VLOOKUP(O9,H66:I81,2,FALSE)))</f>
        <v/>
      </c>
      <c r="C18" s="366"/>
      <c r="D18" s="366"/>
      <c r="E18" s="367" t="str">
        <f>IF(O9="ERROR 4",O5/C4,IF(O9="ERROR 3",O5/C4,""))</f>
        <v/>
      </c>
      <c r="F18" s="82"/>
      <c r="G18" s="82"/>
      <c r="H18" s="112" t="s">
        <v>142</v>
      </c>
      <c r="I18" s="235" t="s">
        <v>162</v>
      </c>
      <c r="J18" s="228">
        <f>Rations!O33</f>
        <v>16.5</v>
      </c>
      <c r="K18" s="67"/>
      <c r="L18" s="82"/>
      <c r="M18" s="82"/>
      <c r="N18" s="67"/>
      <c r="O18" s="67"/>
      <c r="P18" s="67"/>
      <c r="Q18" s="67"/>
    </row>
    <row r="19" spans="1:17" ht="18" customHeight="1" thickBot="1" x14ac:dyDescent="0.3">
      <c r="A19" s="371" t="str">
        <f>IF(B19="","","ERROR MESSAGE -CHECK DATA")</f>
        <v/>
      </c>
      <c r="B19" s="368" t="str">
        <f>IF(AND(C14="",C15=""),"NO GROWTH OR DAYS","")</f>
        <v/>
      </c>
      <c r="C19" s="366"/>
      <c r="D19" s="366"/>
      <c r="E19" s="367"/>
      <c r="F19" s="82"/>
      <c r="G19" s="82"/>
      <c r="H19" s="112" t="s">
        <v>357</v>
      </c>
      <c r="I19" s="235" t="s">
        <v>162</v>
      </c>
      <c r="J19" s="227">
        <f>Rations!E34</f>
        <v>90</v>
      </c>
      <c r="K19" s="67"/>
      <c r="L19" s="82"/>
      <c r="M19" s="900" t="s">
        <v>363</v>
      </c>
      <c r="N19" s="901"/>
      <c r="O19" s="902"/>
      <c r="P19" s="67"/>
      <c r="Q19" s="67"/>
    </row>
    <row r="20" spans="1:17" ht="18" customHeight="1" x14ac:dyDescent="0.25">
      <c r="A20" s="82"/>
      <c r="B20" s="82"/>
      <c r="C20" s="69"/>
      <c r="D20" s="82"/>
      <c r="E20" s="82"/>
      <c r="F20" s="82"/>
      <c r="G20" s="82"/>
      <c r="H20" s="224" t="s">
        <v>453</v>
      </c>
      <c r="I20" s="225">
        <f>Calculations!BH31</f>
        <v>3</v>
      </c>
      <c r="J20" s="226" t="s">
        <v>446</v>
      </c>
      <c r="K20" s="67"/>
      <c r="L20" s="82"/>
      <c r="M20" s="124" t="s">
        <v>122</v>
      </c>
      <c r="N20" s="114"/>
      <c r="O20" s="487">
        <f>ProfitLoss!AA6</f>
        <v>113</v>
      </c>
      <c r="P20" s="67"/>
      <c r="Q20" s="67"/>
    </row>
    <row r="21" spans="1:17" ht="18" customHeight="1" x14ac:dyDescent="0.25">
      <c r="A21" s="82"/>
      <c r="B21" s="82"/>
      <c r="C21" s="69"/>
      <c r="D21" s="69"/>
      <c r="E21" s="69"/>
      <c r="F21" s="69"/>
      <c r="G21" s="69"/>
      <c r="H21" s="69"/>
      <c r="I21" s="69"/>
      <c r="J21" s="67"/>
      <c r="K21" s="82"/>
      <c r="L21" s="82"/>
      <c r="M21" s="125" t="s">
        <v>123</v>
      </c>
      <c r="N21" s="72"/>
      <c r="O21" s="487">
        <f>ProfitLoss!AA7</f>
        <v>12.967900176125244</v>
      </c>
      <c r="P21" s="67"/>
      <c r="Q21" s="67"/>
    </row>
    <row r="22" spans="1:17" ht="18" customHeight="1" thickBot="1" x14ac:dyDescent="0.3">
      <c r="A22" s="82"/>
      <c r="B22" s="82"/>
      <c r="C22" s="69"/>
      <c r="D22" s="69"/>
      <c r="E22" s="69"/>
      <c r="F22" s="69"/>
      <c r="G22" s="69"/>
      <c r="H22" s="69"/>
      <c r="I22" s="69"/>
      <c r="J22" s="69"/>
      <c r="K22" s="69"/>
      <c r="L22" s="82"/>
      <c r="M22" s="125" t="s">
        <v>124</v>
      </c>
      <c r="N22" s="72"/>
      <c r="O22" s="487">
        <f>ProfitLoss!AA8</f>
        <v>5.3819999999999997</v>
      </c>
      <c r="P22" s="67"/>
      <c r="Q22" s="67"/>
    </row>
    <row r="23" spans="1:17" ht="18" customHeight="1" thickBot="1" x14ac:dyDescent="0.35">
      <c r="A23" s="82"/>
      <c r="B23" s="82"/>
      <c r="C23" s="82"/>
      <c r="D23" s="517"/>
      <c r="E23" s="69"/>
      <c r="F23" s="69"/>
      <c r="G23" s="175" t="s">
        <v>276</v>
      </c>
      <c r="H23" s="608" t="s">
        <v>277</v>
      </c>
      <c r="I23" s="109"/>
      <c r="J23" s="110"/>
      <c r="K23" s="609"/>
      <c r="L23" s="82"/>
      <c r="M23" s="125" t="s">
        <v>125</v>
      </c>
      <c r="N23" s="72"/>
      <c r="O23" s="487">
        <f>ProfitLoss!AA9</f>
        <v>2.1428571428571428</v>
      </c>
      <c r="P23" s="67"/>
      <c r="Q23" s="67"/>
    </row>
    <row r="24" spans="1:17" ht="18" customHeight="1" x14ac:dyDescent="0.25">
      <c r="A24" s="82"/>
      <c r="B24" s="82"/>
      <c r="C24" s="82"/>
      <c r="D24" s="82"/>
      <c r="E24" s="82"/>
      <c r="F24" s="82"/>
      <c r="G24" s="69"/>
      <c r="H24" s="82"/>
      <c r="I24" s="82"/>
      <c r="J24" s="82"/>
      <c r="K24" s="82"/>
      <c r="L24" s="82"/>
      <c r="M24" s="125" t="s">
        <v>126</v>
      </c>
      <c r="N24" s="72"/>
      <c r="O24" s="487">
        <f>ProfitLoss!AA10</f>
        <v>22.561000000000003</v>
      </c>
      <c r="P24" s="67"/>
      <c r="Q24" s="67"/>
    </row>
    <row r="25" spans="1:17" ht="18" customHeight="1" x14ac:dyDescent="0.25">
      <c r="A25" s="82"/>
      <c r="B25" s="82"/>
      <c r="C25" s="69"/>
      <c r="D25" s="69"/>
      <c r="E25" s="69"/>
      <c r="F25" s="69"/>
      <c r="G25" s="69"/>
      <c r="H25" s="82"/>
      <c r="I25" s="82"/>
      <c r="J25" s="82"/>
      <c r="K25" s="82"/>
      <c r="L25" s="82"/>
      <c r="M25" s="125" t="s">
        <v>127</v>
      </c>
      <c r="N25" s="72"/>
      <c r="O25" s="487">
        <f>ProfitLoss!AA11</f>
        <v>0</v>
      </c>
      <c r="P25" s="67"/>
      <c r="Q25" s="67"/>
    </row>
    <row r="26" spans="1:17" ht="18" customHeight="1" thickBot="1" x14ac:dyDescent="0.3">
      <c r="A26" s="82"/>
      <c r="B26" s="82"/>
      <c r="C26" s="69"/>
      <c r="D26" s="69"/>
      <c r="E26" s="69"/>
      <c r="F26" s="69"/>
      <c r="G26" s="69"/>
      <c r="H26" s="82"/>
      <c r="I26" s="82"/>
      <c r="J26" s="82"/>
      <c r="K26" s="82"/>
      <c r="L26" s="82"/>
      <c r="M26" s="126" t="s">
        <v>92</v>
      </c>
      <c r="N26" s="127"/>
      <c r="O26" s="488">
        <f>ProfitLoss!AA12</f>
        <v>156.05375731898238</v>
      </c>
      <c r="P26" s="67"/>
      <c r="Q26" s="67"/>
    </row>
    <row r="27" spans="1:17" ht="29.25" customHeight="1" x14ac:dyDescent="0.3">
      <c r="A27" s="82"/>
      <c r="B27" s="82"/>
      <c r="C27" s="69"/>
      <c r="D27" s="69"/>
      <c r="E27" s="69"/>
      <c r="F27" s="69"/>
      <c r="G27" s="158"/>
      <c r="H27" s="893" t="s">
        <v>198</v>
      </c>
      <c r="I27" s="893"/>
      <c r="J27" s="893"/>
      <c r="K27" s="893"/>
      <c r="L27" s="82"/>
      <c r="M27" s="69"/>
      <c r="N27" s="69"/>
      <c r="O27" s="67"/>
      <c r="P27" s="67"/>
      <c r="Q27" s="67"/>
    </row>
    <row r="28" spans="1:17" ht="30.75" customHeight="1" x14ac:dyDescent="0.25">
      <c r="A28" s="82"/>
      <c r="B28" s="82"/>
      <c r="C28" s="82"/>
      <c r="D28" s="82"/>
      <c r="E28" s="69"/>
      <c r="F28" s="69"/>
      <c r="G28" s="158"/>
      <c r="H28" s="158"/>
      <c r="I28" s="158"/>
      <c r="J28" s="158"/>
      <c r="K28" s="158"/>
      <c r="L28" s="82"/>
      <c r="M28" s="82"/>
      <c r="N28" s="82"/>
      <c r="O28" s="82"/>
      <c r="P28" s="82"/>
      <c r="Q28" s="82"/>
    </row>
    <row r="29" spans="1:17" ht="18.75" customHeight="1" x14ac:dyDescent="0.25">
      <c r="A29" s="82"/>
      <c r="B29" s="82"/>
      <c r="C29" s="82"/>
      <c r="D29" s="69"/>
      <c r="E29" s="69"/>
      <c r="F29" s="69"/>
      <c r="G29" s="158"/>
      <c r="H29" s="158"/>
      <c r="I29" s="158"/>
      <c r="J29" s="158"/>
      <c r="K29" s="158"/>
      <c r="L29" s="69"/>
      <c r="M29" s="82"/>
      <c r="N29" s="82"/>
      <c r="O29" s="82"/>
      <c r="P29" s="67"/>
      <c r="Q29" s="67"/>
    </row>
    <row r="30" spans="1:17" ht="18.75" customHeight="1" x14ac:dyDescent="0.25">
      <c r="A30" s="82"/>
      <c r="B30" s="82"/>
      <c r="C30" s="82"/>
      <c r="D30" s="69"/>
      <c r="E30" s="69"/>
      <c r="F30" s="69"/>
      <c r="G30" s="158"/>
      <c r="H30" s="158"/>
      <c r="I30" s="158"/>
      <c r="J30" s="158"/>
      <c r="K30" s="158"/>
      <c r="L30" s="69"/>
      <c r="M30" s="82"/>
      <c r="N30" s="82"/>
      <c r="O30" s="82"/>
      <c r="P30" s="67"/>
      <c r="Q30" s="67"/>
    </row>
    <row r="31" spans="1:17" ht="18.75" customHeight="1" x14ac:dyDescent="0.25">
      <c r="A31" s="82"/>
      <c r="B31" s="82"/>
      <c r="C31" s="82"/>
      <c r="D31" s="69"/>
      <c r="E31" s="69"/>
      <c r="F31" s="69"/>
      <c r="G31" s="158"/>
      <c r="H31" s="158"/>
      <c r="I31" s="158"/>
      <c r="J31" s="158"/>
      <c r="K31" s="158"/>
      <c r="L31" s="69"/>
      <c r="M31" s="82"/>
      <c r="N31" s="82"/>
      <c r="O31" s="82"/>
      <c r="P31" s="67"/>
      <c r="Q31" s="67"/>
    </row>
    <row r="32" spans="1:17" ht="18.75" customHeight="1" x14ac:dyDescent="0.25">
      <c r="A32" s="82"/>
      <c r="B32" s="82"/>
      <c r="C32" s="82"/>
      <c r="D32" s="69"/>
      <c r="E32" s="69"/>
      <c r="F32" s="69"/>
      <c r="G32" s="69"/>
      <c r="H32" s="69"/>
      <c r="I32" s="69"/>
      <c r="J32" s="69"/>
      <c r="K32" s="69"/>
      <c r="L32" s="69"/>
      <c r="M32" s="82"/>
      <c r="N32" s="82"/>
      <c r="O32" s="82"/>
      <c r="P32" s="67"/>
      <c r="Q32" s="67"/>
    </row>
    <row r="33" spans="1:17" ht="18.75" customHeight="1" x14ac:dyDescent="0.25">
      <c r="A33" s="82"/>
      <c r="B33" s="82"/>
      <c r="C33" s="82"/>
      <c r="D33" s="69"/>
      <c r="E33" s="69"/>
      <c r="F33" s="69"/>
      <c r="G33" s="69"/>
      <c r="H33" s="69"/>
      <c r="I33" s="69"/>
      <c r="J33" s="69"/>
      <c r="K33" s="69"/>
      <c r="L33" s="69"/>
      <c r="M33" s="82"/>
      <c r="N33" s="82"/>
      <c r="O33" s="82"/>
      <c r="P33" s="67"/>
      <c r="Q33" s="67"/>
    </row>
    <row r="34" spans="1:17" ht="25.5" customHeight="1" x14ac:dyDescent="0.25">
      <c r="A34" s="106" t="s">
        <v>266</v>
      </c>
      <c r="B34" s="70"/>
      <c r="C34" s="70"/>
      <c r="D34" s="106"/>
      <c r="E34" s="106"/>
      <c r="F34" s="106"/>
      <c r="G34" s="106"/>
      <c r="H34" s="106"/>
      <c r="I34" s="106"/>
      <c r="J34" s="106"/>
      <c r="K34" s="106"/>
      <c r="L34" s="106"/>
      <c r="M34" s="82"/>
      <c r="N34" s="82"/>
      <c r="O34" s="82"/>
      <c r="P34" s="67"/>
      <c r="Q34" s="67"/>
    </row>
    <row r="35" spans="1:17" ht="18.75" customHeight="1" x14ac:dyDescent="0.25">
      <c r="A35" s="106"/>
      <c r="B35" s="70"/>
      <c r="C35" s="70"/>
      <c r="D35" s="106"/>
      <c r="E35" s="106"/>
      <c r="F35" s="106"/>
      <c r="G35" s="106"/>
      <c r="H35" s="106"/>
      <c r="I35" s="106"/>
      <c r="J35" s="106"/>
      <c r="K35" s="106"/>
      <c r="L35" s="106"/>
      <c r="M35" s="82"/>
      <c r="N35" s="69"/>
      <c r="O35" s="67"/>
      <c r="P35" s="67"/>
      <c r="Q35" s="67"/>
    </row>
    <row r="36" spans="1:17" ht="18.75" customHeight="1" x14ac:dyDescent="0.25">
      <c r="A36" s="106"/>
      <c r="B36" s="70"/>
      <c r="C36" s="70"/>
      <c r="D36" s="106"/>
      <c r="E36" s="106"/>
      <c r="F36" s="106"/>
      <c r="G36" s="106"/>
      <c r="H36" s="106"/>
      <c r="I36" s="106"/>
      <c r="J36" s="106"/>
      <c r="K36" s="106"/>
      <c r="L36" s="106"/>
      <c r="M36" s="82"/>
      <c r="N36" s="69"/>
      <c r="O36" s="67"/>
      <c r="P36" s="67"/>
      <c r="Q36" s="67"/>
    </row>
    <row r="37" spans="1:17" ht="18.75" customHeight="1" x14ac:dyDescent="0.25">
      <c r="A37" s="106"/>
      <c r="B37" s="70"/>
      <c r="C37" s="70"/>
      <c r="D37" s="106"/>
      <c r="E37" s="106"/>
      <c r="F37" s="106"/>
      <c r="G37" s="106"/>
      <c r="H37" s="106"/>
      <c r="I37" s="106"/>
      <c r="J37" s="106"/>
      <c r="K37" s="106"/>
      <c r="L37" s="106"/>
      <c r="M37" s="82"/>
      <c r="N37" s="69"/>
      <c r="O37" s="67"/>
      <c r="P37" s="67"/>
      <c r="Q37" s="67"/>
    </row>
    <row r="38" spans="1:17" ht="18.75" customHeight="1" x14ac:dyDescent="0.25">
      <c r="A38" s="106"/>
      <c r="B38" s="70"/>
      <c r="C38" s="70"/>
      <c r="D38" s="106"/>
      <c r="E38" s="106"/>
      <c r="F38" s="106"/>
      <c r="G38" s="106"/>
      <c r="H38" s="106"/>
      <c r="I38" s="106"/>
      <c r="J38" s="106"/>
      <c r="K38" s="106"/>
      <c r="L38" s="106"/>
      <c r="M38" s="82"/>
      <c r="N38" s="69"/>
      <c r="O38" s="67"/>
      <c r="P38" s="67"/>
      <c r="Q38" s="67"/>
    </row>
    <row r="39" spans="1:17" ht="18.75" customHeight="1" x14ac:dyDescent="0.25">
      <c r="A39" s="106"/>
      <c r="B39" s="70"/>
      <c r="C39" s="70"/>
      <c r="D39" s="106"/>
      <c r="E39" s="106"/>
      <c r="F39" s="106"/>
      <c r="G39" s="106"/>
      <c r="H39" s="106"/>
      <c r="I39" s="106"/>
      <c r="J39" s="106"/>
      <c r="K39" s="106"/>
      <c r="L39" s="106"/>
      <c r="M39" s="82"/>
      <c r="N39" s="69"/>
      <c r="O39" s="67"/>
      <c r="P39" s="67"/>
      <c r="Q39" s="67"/>
    </row>
    <row r="40" spans="1:17" ht="18.75" customHeight="1" x14ac:dyDescent="0.25">
      <c r="A40" s="106"/>
      <c r="B40" s="70"/>
      <c r="C40" s="70"/>
      <c r="D40" s="106"/>
      <c r="E40" s="106"/>
      <c r="F40" s="106"/>
      <c r="G40" s="106"/>
      <c r="H40" s="106"/>
      <c r="I40" s="106"/>
      <c r="J40" s="106"/>
      <c r="K40" s="106"/>
      <c r="L40" s="106"/>
      <c r="M40" s="82"/>
      <c r="N40" s="69"/>
      <c r="O40" s="67"/>
      <c r="P40" s="67"/>
      <c r="Q40" s="67"/>
    </row>
    <row r="41" spans="1:17" ht="18.75" customHeight="1" x14ac:dyDescent="0.25">
      <c r="A41" s="106"/>
      <c r="B41" s="70"/>
      <c r="C41" s="70"/>
      <c r="D41" s="106"/>
      <c r="E41" s="106"/>
      <c r="F41" s="106"/>
      <c r="G41" s="106"/>
      <c r="H41" s="106"/>
      <c r="I41" s="106"/>
      <c r="J41" s="106"/>
      <c r="K41" s="106"/>
      <c r="L41" s="106"/>
      <c r="M41" s="82"/>
      <c r="N41" s="69"/>
      <c r="O41" s="67"/>
      <c r="P41" s="67"/>
      <c r="Q41" s="67"/>
    </row>
    <row r="42" spans="1:17" ht="18.75" customHeight="1" x14ac:dyDescent="0.25">
      <c r="A42" s="106"/>
      <c r="B42" s="70"/>
      <c r="C42" s="70"/>
      <c r="D42" s="106"/>
      <c r="E42" s="106"/>
      <c r="F42" s="106"/>
      <c r="G42" s="106"/>
      <c r="H42" s="106"/>
      <c r="I42" s="106"/>
      <c r="J42" s="106"/>
      <c r="K42" s="106"/>
      <c r="L42" s="106"/>
      <c r="M42" s="82"/>
      <c r="N42" s="69"/>
      <c r="O42" s="67"/>
      <c r="P42" s="67"/>
      <c r="Q42" s="67"/>
    </row>
    <row r="43" spans="1:17" ht="18.75" customHeight="1" x14ac:dyDescent="0.25">
      <c r="A43" s="106"/>
      <c r="B43" s="70"/>
      <c r="C43" s="70"/>
      <c r="D43" s="106"/>
      <c r="E43" s="106"/>
      <c r="F43" s="106"/>
      <c r="G43" s="106"/>
      <c r="H43" s="106"/>
      <c r="I43" s="106"/>
      <c r="J43" s="106"/>
      <c r="K43" s="106"/>
      <c r="L43" s="106"/>
      <c r="M43" s="82"/>
      <c r="N43" s="69"/>
      <c r="O43" s="67"/>
      <c r="P43" s="67"/>
      <c r="Q43" s="67"/>
    </row>
    <row r="44" spans="1:17" ht="18.75" customHeight="1" x14ac:dyDescent="0.25">
      <c r="A44" s="106"/>
      <c r="B44" s="70"/>
      <c r="C44" s="70"/>
      <c r="D44" s="106"/>
      <c r="E44" s="106"/>
      <c r="F44" s="106"/>
      <c r="G44" s="106"/>
      <c r="H44" s="106"/>
      <c r="I44" s="106"/>
      <c r="J44" s="106"/>
      <c r="K44" s="106"/>
      <c r="L44" s="106"/>
      <c r="M44" s="82"/>
      <c r="N44" s="69"/>
      <c r="O44" s="67"/>
      <c r="P44" s="67"/>
      <c r="Q44" s="67"/>
    </row>
    <row r="45" spans="1:17" ht="18.75" customHeight="1" x14ac:dyDescent="0.25">
      <c r="A45" s="106"/>
      <c r="B45" s="70"/>
      <c r="C45" s="70"/>
      <c r="D45" s="106"/>
      <c r="E45" s="106"/>
      <c r="F45" s="106"/>
      <c r="G45" s="106"/>
      <c r="H45" s="106"/>
      <c r="I45" s="106"/>
      <c r="J45" s="106"/>
      <c r="K45" s="106"/>
      <c r="L45" s="106"/>
      <c r="M45" s="82"/>
      <c r="N45" s="69"/>
      <c r="O45" s="67"/>
      <c r="P45" s="67"/>
      <c r="Q45" s="67"/>
    </row>
    <row r="46" spans="1:17" ht="18.75" customHeight="1" x14ac:dyDescent="0.25">
      <c r="A46" s="106"/>
      <c r="B46" s="70"/>
      <c r="C46" s="70"/>
      <c r="D46" s="106"/>
      <c r="E46" s="106"/>
      <c r="F46" s="106"/>
      <c r="G46" s="106"/>
      <c r="H46" s="106"/>
      <c r="I46" s="106"/>
      <c r="J46" s="106"/>
      <c r="K46" s="106"/>
      <c r="L46" s="106"/>
      <c r="M46" s="82"/>
      <c r="N46" s="69"/>
      <c r="O46" s="67"/>
      <c r="P46" s="67"/>
      <c r="Q46" s="67"/>
    </row>
    <row r="47" spans="1:17" ht="18.75" customHeight="1" x14ac:dyDescent="0.25">
      <c r="A47" s="106"/>
      <c r="B47" s="70"/>
      <c r="C47" s="70"/>
      <c r="D47" s="106"/>
      <c r="E47" s="106"/>
      <c r="F47" s="106"/>
      <c r="G47" s="106"/>
      <c r="H47" s="106"/>
      <c r="I47" s="106"/>
      <c r="J47" s="106"/>
      <c r="K47" s="106"/>
      <c r="L47" s="106"/>
      <c r="M47" s="82"/>
      <c r="N47" s="69"/>
      <c r="O47" s="67"/>
      <c r="P47" s="67"/>
      <c r="Q47" s="67"/>
    </row>
    <row r="48" spans="1:17" ht="18.75" hidden="1" customHeight="1" x14ac:dyDescent="0.25">
      <c r="A48" s="106"/>
      <c r="B48" s="70"/>
      <c r="C48" s="70"/>
      <c r="D48" s="106"/>
      <c r="E48" s="106"/>
      <c r="F48" s="106"/>
      <c r="G48" s="106"/>
      <c r="H48" s="106"/>
      <c r="I48" s="106"/>
      <c r="J48" s="106"/>
      <c r="K48" s="106"/>
      <c r="L48" s="106"/>
      <c r="M48" s="82"/>
      <c r="N48" s="69"/>
      <c r="O48" s="67"/>
      <c r="P48" s="67"/>
      <c r="Q48" s="67"/>
    </row>
    <row r="49" spans="1:17" ht="18.75" hidden="1" customHeight="1" thickBot="1" x14ac:dyDescent="0.3">
      <c r="A49" s="106"/>
      <c r="B49" s="70"/>
      <c r="C49" s="70"/>
      <c r="D49" s="106"/>
      <c r="E49" s="106"/>
      <c r="F49" s="106"/>
      <c r="G49" s="106"/>
      <c r="H49" s="106"/>
      <c r="I49" s="106"/>
      <c r="J49" s="106"/>
      <c r="K49" s="106"/>
      <c r="L49" s="106"/>
      <c r="M49" s="82"/>
      <c r="N49" s="69"/>
      <c r="O49" s="67"/>
      <c r="P49" s="67"/>
      <c r="Q49" s="67"/>
    </row>
    <row r="50" spans="1:17" ht="20.100000000000001" hidden="1" customHeight="1" x14ac:dyDescent="0.25">
      <c r="A50" s="160">
        <v>1</v>
      </c>
      <c r="B50" s="408" t="s">
        <v>151</v>
      </c>
      <c r="C50" s="161">
        <v>1</v>
      </c>
      <c r="D50" s="60"/>
      <c r="E50" s="60"/>
      <c r="F50" s="60"/>
      <c r="G50" s="130"/>
      <c r="H50" s="130"/>
      <c r="I50" s="130"/>
      <c r="J50" s="130"/>
      <c r="K50" s="130"/>
      <c r="L50" s="130"/>
    </row>
    <row r="51" spans="1:17" ht="20.100000000000001" hidden="1" customHeight="1" x14ac:dyDescent="0.25">
      <c r="A51" s="160">
        <v>2</v>
      </c>
      <c r="B51" s="408" t="s">
        <v>272</v>
      </c>
      <c r="C51" s="161">
        <v>0.85</v>
      </c>
      <c r="D51" s="55"/>
      <c r="E51" s="55"/>
      <c r="F51" s="55"/>
      <c r="G51" s="55"/>
      <c r="H51" s="55"/>
      <c r="I51" s="55"/>
      <c r="J51" s="55"/>
      <c r="K51" s="55"/>
      <c r="L51" s="55"/>
    </row>
    <row r="52" spans="1:17" ht="20.100000000000001" hidden="1" customHeight="1" x14ac:dyDescent="0.25">
      <c r="A52" s="160">
        <v>3</v>
      </c>
      <c r="B52" s="408" t="s">
        <v>152</v>
      </c>
      <c r="C52" s="161">
        <v>0.75</v>
      </c>
      <c r="D52" s="55"/>
      <c r="E52" s="55"/>
      <c r="F52" s="55"/>
      <c r="G52" s="55"/>
      <c r="H52" s="55"/>
      <c r="I52" s="55"/>
      <c r="J52" s="55"/>
      <c r="K52" s="55"/>
      <c r="L52" s="55"/>
    </row>
    <row r="53" spans="1:17" ht="20.100000000000001" hidden="1" customHeight="1" x14ac:dyDescent="0.25">
      <c r="A53" s="160">
        <v>4</v>
      </c>
      <c r="B53" s="408" t="s">
        <v>153</v>
      </c>
      <c r="C53" s="161">
        <v>0.8</v>
      </c>
      <c r="D53" s="55"/>
      <c r="E53" s="55"/>
      <c r="F53" s="55"/>
      <c r="G53" s="55"/>
      <c r="H53" s="55"/>
      <c r="I53" s="55"/>
      <c r="J53" s="55"/>
      <c r="K53" s="55"/>
      <c r="L53" s="55"/>
    </row>
    <row r="54" spans="1:17" ht="20.100000000000001" hidden="1" customHeight="1" x14ac:dyDescent="0.25">
      <c r="A54" s="160">
        <v>5</v>
      </c>
      <c r="B54" s="408" t="s">
        <v>348</v>
      </c>
      <c r="C54" s="161">
        <v>0.9</v>
      </c>
      <c r="D54" s="55"/>
      <c r="E54" s="55"/>
      <c r="F54" s="55"/>
      <c r="G54" s="55"/>
      <c r="H54" s="55"/>
      <c r="I54" s="55"/>
      <c r="J54" s="55"/>
      <c r="K54" s="55"/>
      <c r="L54" s="55"/>
    </row>
    <row r="55" spans="1:17" ht="20.100000000000001" hidden="1" customHeight="1" x14ac:dyDescent="0.25">
      <c r="A55" s="160">
        <v>6</v>
      </c>
      <c r="B55" s="408" t="s">
        <v>561</v>
      </c>
      <c r="C55" s="161"/>
      <c r="D55" s="55"/>
      <c r="E55" s="55"/>
      <c r="F55" s="55"/>
      <c r="G55" s="55"/>
      <c r="H55" s="55"/>
      <c r="I55" s="55"/>
      <c r="J55" s="55"/>
      <c r="K55" s="55"/>
      <c r="L55" s="55"/>
    </row>
    <row r="56" spans="1:17" hidden="1" x14ac:dyDescent="0.2">
      <c r="A56" s="59"/>
      <c r="B56" s="55"/>
      <c r="C56" s="55"/>
      <c r="D56" s="55"/>
      <c r="E56" s="55"/>
      <c r="F56" s="55"/>
      <c r="G56" s="55"/>
      <c r="H56" s="55"/>
      <c r="I56" s="55"/>
      <c r="J56" s="55"/>
      <c r="K56" s="55"/>
      <c r="L56" s="55"/>
    </row>
    <row r="57" spans="1:17" s="75" customFormat="1" ht="15" hidden="1" x14ac:dyDescent="0.25">
      <c r="A57" s="59" t="s">
        <v>185</v>
      </c>
      <c r="B57" s="55"/>
      <c r="C57" s="55"/>
      <c r="D57" s="55"/>
      <c r="E57" s="55"/>
      <c r="F57" s="55"/>
      <c r="G57" s="55"/>
      <c r="H57" s="55" t="s">
        <v>18</v>
      </c>
      <c r="I57" s="55" t="s">
        <v>187</v>
      </c>
      <c r="J57" s="55"/>
      <c r="K57" s="55"/>
      <c r="L57" s="55"/>
    </row>
    <row r="58" spans="1:17" hidden="1" x14ac:dyDescent="0.2">
      <c r="A58" s="59" t="s">
        <v>166</v>
      </c>
      <c r="B58" s="55" t="s">
        <v>162</v>
      </c>
      <c r="C58" s="62">
        <f>SUM(Rations!E5:E12)*90/Rations!E34</f>
        <v>0</v>
      </c>
      <c r="D58" s="55"/>
      <c r="E58" s="55"/>
      <c r="F58" s="55"/>
      <c r="G58" s="55"/>
      <c r="H58" s="159"/>
      <c r="I58" s="159" t="s">
        <v>178</v>
      </c>
      <c r="J58" s="159" t="s">
        <v>179</v>
      </c>
      <c r="K58" s="159" t="s">
        <v>153</v>
      </c>
      <c r="M58" s="159" t="s">
        <v>186</v>
      </c>
      <c r="N58" s="77" t="s">
        <v>349</v>
      </c>
    </row>
    <row r="59" spans="1:17" hidden="1" x14ac:dyDescent="0.2">
      <c r="A59" s="59" t="s">
        <v>163</v>
      </c>
      <c r="B59" s="55" t="s">
        <v>60</v>
      </c>
      <c r="C59" s="55">
        <f>C16</f>
        <v>3.5</v>
      </c>
      <c r="D59" s="55"/>
      <c r="E59" s="55"/>
      <c r="F59" s="55"/>
      <c r="G59" s="55"/>
      <c r="H59" s="159">
        <v>13</v>
      </c>
      <c r="I59" s="302">
        <v>300</v>
      </c>
      <c r="J59" s="302">
        <f>$I59*C51</f>
        <v>255</v>
      </c>
      <c r="K59" s="302">
        <f>$I59*$C$53</f>
        <v>240</v>
      </c>
      <c r="L59" s="76"/>
      <c r="M59" s="302">
        <f>$I59*$C$53</f>
        <v>240</v>
      </c>
      <c r="N59" s="303">
        <f>$I59*$C$55</f>
        <v>0</v>
      </c>
    </row>
    <row r="60" spans="1:17" hidden="1" x14ac:dyDescent="0.2">
      <c r="A60" s="59" t="s">
        <v>164</v>
      </c>
      <c r="B60" s="55" t="s">
        <v>60</v>
      </c>
      <c r="C60" s="58">
        <f>C58*C59*0.01</f>
        <v>0</v>
      </c>
      <c r="D60" s="55"/>
      <c r="E60" s="55"/>
      <c r="F60" s="55"/>
      <c r="G60" s="55"/>
      <c r="H60" s="159">
        <v>12</v>
      </c>
      <c r="I60" s="302">
        <v>270</v>
      </c>
      <c r="J60" s="302">
        <f>$I60*C52</f>
        <v>202.5</v>
      </c>
      <c r="K60" s="302">
        <f>$I60*$C$53</f>
        <v>216</v>
      </c>
      <c r="L60" s="76"/>
      <c r="M60" s="302">
        <f>$I60*$C$53</f>
        <v>216</v>
      </c>
      <c r="N60" s="303">
        <f>$I60*$C$55</f>
        <v>0</v>
      </c>
    </row>
    <row r="61" spans="1:17" hidden="1" x14ac:dyDescent="0.2">
      <c r="A61" s="59" t="s">
        <v>167</v>
      </c>
      <c r="B61" s="55" t="s">
        <v>71</v>
      </c>
      <c r="C61" s="55">
        <f>(C5+C12)/2</f>
        <v>42.5</v>
      </c>
      <c r="D61" s="55"/>
      <c r="E61" s="55"/>
      <c r="F61" s="55"/>
      <c r="G61" s="55"/>
      <c r="H61" s="159">
        <v>11</v>
      </c>
      <c r="I61" s="302">
        <v>210</v>
      </c>
      <c r="J61" s="302">
        <f>$I61*C53</f>
        <v>168</v>
      </c>
      <c r="K61" s="302">
        <f>$I61*$C$53</f>
        <v>168</v>
      </c>
      <c r="L61" s="76"/>
      <c r="M61" s="302">
        <f>$I61*$C$53</f>
        <v>168</v>
      </c>
      <c r="N61" s="303">
        <f>$I61*$C$55</f>
        <v>0</v>
      </c>
    </row>
    <row r="62" spans="1:17" hidden="1" x14ac:dyDescent="0.2">
      <c r="A62" s="59" t="s">
        <v>168</v>
      </c>
      <c r="B62" s="55" t="s">
        <v>71</v>
      </c>
      <c r="C62" s="57">
        <f>C61^0.75</f>
        <v>16.645302707404049</v>
      </c>
      <c r="D62" s="55"/>
      <c r="E62" s="55"/>
      <c r="F62" s="55"/>
      <c r="G62" s="55"/>
      <c r="H62" s="159">
        <v>10</v>
      </c>
      <c r="I62" s="302">
        <v>150</v>
      </c>
      <c r="J62" s="302">
        <f>$I62*C54</f>
        <v>135</v>
      </c>
      <c r="K62" s="302">
        <f>$I62*$C$53</f>
        <v>120</v>
      </c>
      <c r="L62" s="76"/>
      <c r="M62" s="302">
        <f>$I62*$C$53</f>
        <v>120</v>
      </c>
      <c r="N62" s="303">
        <f>$I62*$C$55</f>
        <v>0</v>
      </c>
    </row>
    <row r="63" spans="1:17" hidden="1" x14ac:dyDescent="0.2">
      <c r="A63" s="59" t="s">
        <v>169</v>
      </c>
      <c r="B63" s="55" t="s">
        <v>170</v>
      </c>
      <c r="C63" s="57">
        <f>C62*0.464</f>
        <v>7.7234204562354796</v>
      </c>
      <c r="D63" s="55"/>
      <c r="E63" s="55"/>
      <c r="F63" s="55"/>
      <c r="G63" s="55"/>
      <c r="H63" s="159">
        <v>9</v>
      </c>
      <c r="I63" s="302">
        <v>75</v>
      </c>
      <c r="J63" s="302">
        <f>$I63*C55</f>
        <v>0</v>
      </c>
      <c r="K63" s="302">
        <f>$I63*$C$53</f>
        <v>60</v>
      </c>
      <c r="L63" s="76"/>
      <c r="M63" s="302">
        <f>$I63*$C$53</f>
        <v>60</v>
      </c>
      <c r="N63" s="303">
        <f>$I63*$C$55</f>
        <v>0</v>
      </c>
    </row>
    <row r="64" spans="1:17" hidden="1" x14ac:dyDescent="0.2">
      <c r="A64" s="59" t="s">
        <v>171</v>
      </c>
      <c r="B64" s="55" t="s">
        <v>172</v>
      </c>
      <c r="C64" s="58">
        <f>J17</f>
        <v>13</v>
      </c>
      <c r="D64" s="55"/>
      <c r="E64" s="55"/>
      <c r="F64" s="55"/>
      <c r="G64" s="55"/>
      <c r="H64" s="55"/>
      <c r="I64" s="55"/>
      <c r="J64" s="55"/>
      <c r="K64" s="55"/>
      <c r="L64" s="55"/>
    </row>
    <row r="65" spans="1:12" hidden="1" x14ac:dyDescent="0.2">
      <c r="A65" s="59" t="s">
        <v>163</v>
      </c>
      <c r="B65" s="55" t="s">
        <v>173</v>
      </c>
      <c r="C65" s="57">
        <f>J4</f>
        <v>1.54</v>
      </c>
      <c r="D65" s="55"/>
      <c r="E65" s="55"/>
      <c r="F65" s="55"/>
      <c r="H65" s="68" t="s">
        <v>366</v>
      </c>
      <c r="I65" s="68" t="s">
        <v>371</v>
      </c>
      <c r="J65" s="171"/>
      <c r="K65" s="55"/>
      <c r="L65" s="55"/>
    </row>
    <row r="66" spans="1:12" hidden="1" x14ac:dyDescent="0.2">
      <c r="A66" s="59" t="s">
        <v>174</v>
      </c>
      <c r="B66" s="55" t="s">
        <v>170</v>
      </c>
      <c r="C66" s="57">
        <f>C65*C64</f>
        <v>20.02</v>
      </c>
      <c r="D66" s="55"/>
      <c r="E66" s="55"/>
      <c r="F66" s="55"/>
      <c r="H66" s="68" t="s">
        <v>364</v>
      </c>
      <c r="I66" s="304" t="s">
        <v>369</v>
      </c>
      <c r="J66" s="304"/>
      <c r="K66" s="304"/>
      <c r="L66" s="304"/>
    </row>
    <row r="67" spans="1:12" hidden="1" x14ac:dyDescent="0.2">
      <c r="A67" s="59" t="s">
        <v>175</v>
      </c>
      <c r="B67" s="55" t="s">
        <v>170</v>
      </c>
      <c r="C67" s="57">
        <f>C66-C63</f>
        <v>12.296579543764519</v>
      </c>
      <c r="D67" s="55"/>
      <c r="E67" s="55"/>
      <c r="F67" s="55"/>
      <c r="H67" s="68" t="s">
        <v>365</v>
      </c>
      <c r="I67" s="68" t="s">
        <v>370</v>
      </c>
      <c r="K67" s="55"/>
      <c r="L67" s="55"/>
    </row>
    <row r="68" spans="1:12" hidden="1" x14ac:dyDescent="0.2">
      <c r="A68" s="59" t="s">
        <v>176</v>
      </c>
      <c r="B68" s="55" t="s">
        <v>177</v>
      </c>
      <c r="C68" s="58">
        <f>19.3+3.51*C60</f>
        <v>19.3</v>
      </c>
      <c r="D68" s="55"/>
      <c r="E68" s="55"/>
      <c r="F68" s="55"/>
      <c r="H68" s="68" t="s">
        <v>367</v>
      </c>
      <c r="I68" s="68" t="s">
        <v>372</v>
      </c>
      <c r="K68" s="55"/>
      <c r="L68" s="55"/>
    </row>
    <row r="69" spans="1:12" hidden="1" x14ac:dyDescent="0.2">
      <c r="A69" s="59" t="s">
        <v>165</v>
      </c>
      <c r="B69" s="55"/>
      <c r="C69" s="58">
        <f>C68*C67</f>
        <v>237.32398519465522</v>
      </c>
      <c r="D69" s="55"/>
      <c r="E69" s="55"/>
      <c r="F69" s="55"/>
      <c r="H69" s="68" t="s">
        <v>368</v>
      </c>
      <c r="I69" s="68" t="s">
        <v>373</v>
      </c>
      <c r="K69" s="55"/>
      <c r="L69" s="55"/>
    </row>
    <row r="70" spans="1:12" hidden="1" x14ac:dyDescent="0.2">
      <c r="A70" s="68" t="s">
        <v>350</v>
      </c>
      <c r="B70" s="59">
        <f>+E3</f>
        <v>3</v>
      </c>
      <c r="C70" s="55">
        <f>VLOOKUP(E3,A50:C55,3,FALSE)</f>
        <v>0.75</v>
      </c>
      <c r="D70" s="55"/>
      <c r="E70" s="55"/>
      <c r="F70" s="55"/>
      <c r="H70" s="68" t="s">
        <v>376</v>
      </c>
      <c r="I70" s="68" t="s">
        <v>377</v>
      </c>
      <c r="K70" s="55"/>
      <c r="L70" s="55"/>
    </row>
    <row r="71" spans="1:12" hidden="1" x14ac:dyDescent="0.2">
      <c r="A71" s="59" t="s">
        <v>165</v>
      </c>
      <c r="B71" s="55" t="s">
        <v>180</v>
      </c>
      <c r="C71" s="58">
        <f>+C69*C70</f>
        <v>177.9929888959914</v>
      </c>
      <c r="D71" s="55"/>
      <c r="E71" s="55"/>
      <c r="F71" s="55"/>
      <c r="K71" s="55"/>
      <c r="L71" s="55"/>
    </row>
    <row r="72" spans="1:12" hidden="1" x14ac:dyDescent="0.2">
      <c r="A72" s="59"/>
      <c r="B72" s="55"/>
      <c r="C72" s="55"/>
      <c r="D72" s="55"/>
      <c r="E72" s="55"/>
      <c r="F72" s="55"/>
      <c r="K72" s="55"/>
      <c r="L72" s="55"/>
    </row>
    <row r="73" spans="1:12" hidden="1" x14ac:dyDescent="0.2">
      <c r="A73" s="59"/>
      <c r="B73" s="55"/>
      <c r="C73" s="55"/>
      <c r="D73" s="55"/>
      <c r="E73" s="55"/>
      <c r="F73" s="55"/>
      <c r="G73" s="55"/>
      <c r="H73" s="55"/>
      <c r="I73" s="55"/>
      <c r="J73" s="55"/>
      <c r="K73" s="55"/>
      <c r="L73" s="55"/>
    </row>
    <row r="74" spans="1:12" hidden="1" x14ac:dyDescent="0.2">
      <c r="A74" s="59"/>
      <c r="B74" s="55"/>
      <c r="C74" s="55"/>
      <c r="D74" s="55"/>
      <c r="E74" s="55"/>
      <c r="F74" s="55"/>
      <c r="G74" s="55"/>
      <c r="H74" s="55"/>
      <c r="I74" s="55"/>
      <c r="J74" s="55"/>
      <c r="K74" s="55"/>
      <c r="L74" s="55"/>
    </row>
    <row r="75" spans="1:12" ht="15" hidden="1" thickBot="1" x14ac:dyDescent="0.25">
      <c r="A75" s="151"/>
      <c r="B75" s="152"/>
      <c r="C75" s="153"/>
      <c r="D75" s="152"/>
      <c r="E75" s="152"/>
      <c r="F75" s="152"/>
      <c r="G75" s="152"/>
      <c r="H75" s="152"/>
      <c r="I75" s="152"/>
      <c r="J75" s="152"/>
      <c r="K75" s="152"/>
      <c r="L75" s="152"/>
    </row>
    <row r="76" spans="1:12" ht="15" hidden="1" x14ac:dyDescent="0.25">
      <c r="A76" s="75" t="s">
        <v>545</v>
      </c>
      <c r="C76" s="76"/>
    </row>
    <row r="77" spans="1:12" hidden="1" x14ac:dyDescent="0.2">
      <c r="A77" s="68" t="s">
        <v>548</v>
      </c>
      <c r="B77" s="68">
        <f>E3</f>
        <v>3</v>
      </c>
      <c r="C77" s="68" t="s">
        <v>548</v>
      </c>
      <c r="D77" s="68" t="s">
        <v>549</v>
      </c>
    </row>
    <row r="78" spans="1:12" hidden="1" x14ac:dyDescent="0.2">
      <c r="A78" s="68" t="s">
        <v>547</v>
      </c>
      <c r="B78" s="76">
        <f>(-481+C16*104.2+30.8*J17)*1.1-B82</f>
        <v>312.51000000000005</v>
      </c>
      <c r="C78" s="68">
        <f>VLOOKUP(B77,$A$50:$C$55,3,FALSE)</f>
        <v>0.75</v>
      </c>
      <c r="D78" s="76">
        <f>B78*C78</f>
        <v>234.38250000000005</v>
      </c>
    </row>
    <row r="79" spans="1:12" hidden="1" x14ac:dyDescent="0.2">
      <c r="A79" s="68" t="s">
        <v>546</v>
      </c>
      <c r="B79" s="68">
        <f>-498+134*C16+29.9*J17-B82</f>
        <v>359.7</v>
      </c>
      <c r="C79" s="68">
        <f>IF(B77=6,1,0)</f>
        <v>0</v>
      </c>
      <c r="D79" s="76">
        <f>B79*C79</f>
        <v>0</v>
      </c>
    </row>
    <row r="80" spans="1:12" hidden="1" x14ac:dyDescent="0.2">
      <c r="C80" s="68" t="s">
        <v>181</v>
      </c>
      <c r="D80" s="76">
        <f>SUM(D78:D79)</f>
        <v>234.38250000000005</v>
      </c>
    </row>
    <row r="81" spans="1:4" hidden="1" x14ac:dyDescent="0.2">
      <c r="A81" s="68" t="s">
        <v>550</v>
      </c>
      <c r="B81" s="68">
        <f>SUM(Rations!E23:E27)</f>
        <v>0</v>
      </c>
      <c r="C81" s="68" t="s">
        <v>3</v>
      </c>
    </row>
    <row r="82" spans="1:4" hidden="1" x14ac:dyDescent="0.2">
      <c r="A82" s="68" t="s">
        <v>551</v>
      </c>
      <c r="B82" s="68">
        <f>IF(B81&gt;50,B81-50,0)</f>
        <v>0</v>
      </c>
      <c r="C82" s="68" t="s">
        <v>570</v>
      </c>
    </row>
    <row r="83" spans="1:4" hidden="1" x14ac:dyDescent="0.2"/>
    <row r="84" spans="1:4" ht="15" hidden="1" x14ac:dyDescent="0.25">
      <c r="A84" s="75" t="s">
        <v>565</v>
      </c>
    </row>
    <row r="85" spans="1:4" hidden="1" x14ac:dyDescent="0.2">
      <c r="A85" s="68" t="s">
        <v>566</v>
      </c>
      <c r="B85" s="68">
        <f>IF(B77=6,1,0)</f>
        <v>0</v>
      </c>
      <c r="C85" s="301">
        <f>C16</f>
        <v>3.5</v>
      </c>
      <c r="D85" s="68">
        <f>B85*C85</f>
        <v>0</v>
      </c>
    </row>
    <row r="86" spans="1:4" hidden="1" x14ac:dyDescent="0.2">
      <c r="A86" s="68" t="s">
        <v>567</v>
      </c>
      <c r="B86" s="68">
        <f>IF(B77&lt;6,1,0)</f>
        <v>1</v>
      </c>
      <c r="C86" s="301">
        <f>C85</f>
        <v>3.5</v>
      </c>
      <c r="D86" s="68">
        <f>B86*C86</f>
        <v>3.5</v>
      </c>
    </row>
    <row r="87" spans="1:4" hidden="1" x14ac:dyDescent="0.2">
      <c r="A87" s="68" t="str">
        <f>IF(D85&gt;2.5,"Maxium intake for ADULT sheep should be up to 2.5%LWT on DM basis","")</f>
        <v/>
      </c>
      <c r="B87" s="68" t="s">
        <v>568</v>
      </c>
    </row>
    <row r="88" spans="1:4" hidden="1" x14ac:dyDescent="0.2">
      <c r="A88" s="68" t="str">
        <f>IF(D86&gt;5,"Maxium intake for LAMBS should be up to 5%LWT on DM basis","")</f>
        <v/>
      </c>
      <c r="B88" s="68" t="s">
        <v>569</v>
      </c>
    </row>
    <row r="89" spans="1:4" hidden="1" x14ac:dyDescent="0.2"/>
  </sheetData>
  <sheetProtection password="BEC1" sheet="1" selectLockedCells="1"/>
  <mergeCells count="11">
    <mergeCell ref="A1:O1"/>
    <mergeCell ref="A2:C2"/>
    <mergeCell ref="M19:O19"/>
    <mergeCell ref="H12:J12"/>
    <mergeCell ref="H2:K2"/>
    <mergeCell ref="H14:J14"/>
    <mergeCell ref="J7:K7"/>
    <mergeCell ref="J8:K8"/>
    <mergeCell ref="D7:G7"/>
    <mergeCell ref="H27:K27"/>
    <mergeCell ref="B3:C3"/>
  </mergeCells>
  <phoneticPr fontId="87" type="noConversion"/>
  <dataValidations xWindow="169" yWindow="146" count="13">
    <dataValidation type="decimal" allowBlank="1" showInputMessage="1" showErrorMessage="1" error="Dressing % 35 to 55 is allowed" sqref="C12">
      <formula1>35</formula1>
      <formula2>55</formula2>
    </dataValidation>
    <dataValidation type="whole" allowBlank="1" showErrorMessage="1" error="need a number above 0 - maxium 20000 is possible" sqref="C4">
      <formula1>1</formula1>
      <formula2>20000</formula2>
    </dataValidation>
    <dataValidation type="decimal" allowBlank="1" showErrorMessage="1" error="out of range 15 to 130 kgs allowed" sqref="C9 C5">
      <formula1>15</formula1>
      <formula2>130</formula2>
    </dataValidation>
    <dataValidation type="decimal" allowBlank="1" showInputMessage="1" showErrorMessage="1" error="range to  $8.00 (LWT)  alllowed" sqref="C6">
      <formula1>0</formula1>
      <formula2>8</formula2>
    </dataValidation>
    <dataValidation type="decimal" allowBlank="1" showInputMessage="1" showErrorMessage="1" error="0 to $40.0 allowed " sqref="C7">
      <formula1>0</formula1>
      <formula2>40</formula2>
    </dataValidation>
    <dataValidation type="decimal" allowBlank="1" showInputMessage="1" showErrorMessage="1" error="$1.50 to $10.00 kg Hot Carcass weight allowed" sqref="C10">
      <formula1>1.5</formula1>
      <formula2>10</formula2>
    </dataValidation>
    <dataValidation type="decimal" allowBlank="1" showInputMessage="1" showErrorMessage="1" error="Skin value  to $25.00 allowed" sqref="C11">
      <formula1>0</formula1>
      <formula2>25</formula2>
    </dataValidation>
    <dataValidation type="decimal" allowBlank="1" showInputMessage="1" showErrorMessage="1" error="0 to $300 allowed " sqref="C8">
      <formula1>0</formula1>
      <formula2>300</formula2>
    </dataValidation>
    <dataValidation type="decimal" allowBlank="1" showInputMessage="1" showErrorMessage="1" error="Growth grate range -150 to 500 g/d_x000a_" sqref="C14">
      <formula1>-150</formula1>
      <formula2>500</formula2>
    </dataValidation>
    <dataValidation type="decimal" allowBlank="1" showInputMessage="1" showErrorMessage="1" error="0 to $300 allowed " sqref="C13">
      <formula1>0</formula1>
      <formula2>300</formula2>
    </dataValidation>
    <dataValidation type="decimal" showInputMessage="1" showErrorMessage="1" sqref="C17">
      <formula1>1</formula1>
      <formula2>5</formula2>
    </dataValidation>
    <dataValidation type="decimal" allowBlank="1" showInputMessage="1" showErrorMessage="1" error="0 to 300 days range allowed" sqref="C15">
      <formula1>0</formula1>
      <formula2>300</formula2>
    </dataValidation>
    <dataValidation type="decimal" allowBlank="1" showInputMessage="1" showErrorMessage="1" error="intake 1.0 to 5.0 of LWT/day allowed" sqref="C16">
      <formula1>1</formula1>
      <formula2>5.1</formula2>
    </dataValidation>
  </dataValidations>
  <pageMargins left="0.39370078740157483" right="0.39370078740157483" top="0.39370078740157483" bottom="0.39370078740157483" header="0.19685039370078741" footer="0.19685039370078741"/>
  <pageSetup paperSize="9" orientation="landscape" blackAndWhite="1" cellComments="atEnd" horizontalDpi="4294967293" r:id="rId1"/>
  <headerFooter alignWithMargins="0"/>
  <drawing r:id="rId2"/>
  <legacyDrawing r:id="rId3"/>
  <controls>
    <mc:AlternateContent xmlns:mc="http://schemas.openxmlformats.org/markup-compatibility/2006">
      <mc:Choice Requires="x14">
        <control shapeId="27707" r:id="rId4" name="SpinButton3">
          <controlPr autoLine="0" autoPict="0" linkedCell="E3" r:id="rId5">
            <anchor moveWithCells="1">
              <from>
                <xdr:col>3</xdr:col>
                <xdr:colOff>0</xdr:colOff>
                <xdr:row>2</xdr:row>
                <xdr:rowOff>9525</xdr:rowOff>
              </from>
              <to>
                <xdr:col>3</xdr:col>
                <xdr:colOff>1381125</xdr:colOff>
                <xdr:row>3</xdr:row>
                <xdr:rowOff>28575</xdr:rowOff>
              </to>
            </anchor>
          </controlPr>
        </control>
      </mc:Choice>
      <mc:Fallback>
        <control shapeId="27707" r:id="rId4" name="SpinButton3"/>
      </mc:Fallback>
    </mc:AlternateContent>
    <mc:AlternateContent xmlns:mc="http://schemas.openxmlformats.org/markup-compatibility/2006">
      <mc:Choice Requires="x14">
        <control shapeId="27663" r:id="rId6" name="CommandButton3">
          <controlPr defaultSize="0" autoLine="0" autoPict="0" r:id="rId7">
            <anchor moveWithCells="1">
              <from>
                <xdr:col>5</xdr:col>
                <xdr:colOff>38100</xdr:colOff>
                <xdr:row>23</xdr:row>
                <xdr:rowOff>123825</xdr:rowOff>
              </from>
              <to>
                <xdr:col>7</xdr:col>
                <xdr:colOff>1476375</xdr:colOff>
                <xdr:row>25</xdr:row>
                <xdr:rowOff>123825</xdr:rowOff>
              </to>
            </anchor>
          </controlPr>
        </control>
      </mc:Choice>
      <mc:Fallback>
        <control shapeId="27663" r:id="rId6" name="CommandButton3"/>
      </mc:Fallback>
    </mc:AlternateContent>
    <mc:AlternateContent xmlns:mc="http://schemas.openxmlformats.org/markup-compatibility/2006">
      <mc:Choice Requires="x14">
        <control shapeId="27662" r:id="rId8" name="CommandButton2">
          <controlPr defaultSize="0" autoLine="0" r:id="rId9">
            <anchor moveWithCells="1">
              <from>
                <xdr:col>7</xdr:col>
                <xdr:colOff>1590675</xdr:colOff>
                <xdr:row>23</xdr:row>
                <xdr:rowOff>142875</xdr:rowOff>
              </from>
              <to>
                <xdr:col>10</xdr:col>
                <xdr:colOff>390525</xdr:colOff>
                <xdr:row>25</xdr:row>
                <xdr:rowOff>133350</xdr:rowOff>
              </to>
            </anchor>
          </controlPr>
        </control>
      </mc:Choice>
      <mc:Fallback>
        <control shapeId="27662" r:id="rId8" name="CommandButton2"/>
      </mc:Fallback>
    </mc:AlternateContent>
    <mc:AlternateContent xmlns:mc="http://schemas.openxmlformats.org/markup-compatibility/2006">
      <mc:Choice Requires="x14">
        <control shapeId="3202" r:id="rId10" name="DataForm">
          <controlPr defaultSize="0" autoLine="0" r:id="rId11">
            <anchor moveWithCells="1">
              <from>
                <xdr:col>8</xdr:col>
                <xdr:colOff>752475</xdr:colOff>
                <xdr:row>28</xdr:row>
                <xdr:rowOff>123825</xdr:rowOff>
              </from>
              <to>
                <xdr:col>10</xdr:col>
                <xdr:colOff>314325</xdr:colOff>
                <xdr:row>30</xdr:row>
                <xdr:rowOff>0</xdr:rowOff>
              </to>
            </anchor>
          </controlPr>
        </control>
      </mc:Choice>
      <mc:Fallback>
        <control shapeId="3202" r:id="rId10" name="DataForm"/>
      </mc:Fallback>
    </mc:AlternateContent>
    <mc:AlternateContent xmlns:mc="http://schemas.openxmlformats.org/markup-compatibility/2006">
      <mc:Choice Requires="x14">
        <control shapeId="3180" r:id="rId12" name="cmdPrintInputs">
          <controlPr defaultSize="0" autoLine="0" autoPict="0" r:id="rId13">
            <anchor moveWithCells="1">
              <from>
                <xdr:col>7</xdr:col>
                <xdr:colOff>1362075</xdr:colOff>
                <xdr:row>27</xdr:row>
                <xdr:rowOff>85725</xdr:rowOff>
              </from>
              <to>
                <xdr:col>8</xdr:col>
                <xdr:colOff>581025</xdr:colOff>
                <xdr:row>28</xdr:row>
                <xdr:rowOff>66675</xdr:rowOff>
              </to>
            </anchor>
          </controlPr>
        </control>
      </mc:Choice>
      <mc:Fallback>
        <control shapeId="3180" r:id="rId12" name="cmdPrintInputs"/>
      </mc:Fallback>
    </mc:AlternateContent>
    <mc:AlternateContent xmlns:mc="http://schemas.openxmlformats.org/markup-compatibility/2006">
      <mc:Choice Requires="x14">
        <control shapeId="3168" r:id="rId14" name="cmdPrintFeeds">
          <controlPr defaultSize="0" autoLine="0" r:id="rId15">
            <anchor moveWithCells="1">
              <from>
                <xdr:col>6</xdr:col>
                <xdr:colOff>190500</xdr:colOff>
                <xdr:row>28</xdr:row>
                <xdr:rowOff>104775</xdr:rowOff>
              </from>
              <to>
                <xdr:col>7</xdr:col>
                <xdr:colOff>1209675</xdr:colOff>
                <xdr:row>29</xdr:row>
                <xdr:rowOff>228600</xdr:rowOff>
              </to>
            </anchor>
          </controlPr>
        </control>
      </mc:Choice>
      <mc:Fallback>
        <control shapeId="3168" r:id="rId14" name="cmdPrintFeeds"/>
      </mc:Fallback>
    </mc:AlternateContent>
    <mc:AlternateContent xmlns:mc="http://schemas.openxmlformats.org/markup-compatibility/2006">
      <mc:Choice Requires="x14">
        <control shapeId="3160" r:id="rId16" name="cmdPrintPLoss">
          <controlPr defaultSize="0" autoLine="0" r:id="rId17">
            <anchor moveWithCells="1">
              <from>
                <xdr:col>7</xdr:col>
                <xdr:colOff>1400175</xdr:colOff>
                <xdr:row>28</xdr:row>
                <xdr:rowOff>123825</xdr:rowOff>
              </from>
              <to>
                <xdr:col>8</xdr:col>
                <xdr:colOff>590550</xdr:colOff>
                <xdr:row>30</xdr:row>
                <xdr:rowOff>9525</xdr:rowOff>
              </to>
            </anchor>
          </controlPr>
        </control>
      </mc:Choice>
      <mc:Fallback>
        <control shapeId="3160" r:id="rId16" name="cmdPrintPLoss"/>
      </mc:Fallback>
    </mc:AlternateContent>
    <mc:AlternateContent xmlns:mc="http://schemas.openxmlformats.org/markup-compatibility/2006">
      <mc:Choice Requires="x14">
        <control shapeId="3159" r:id="rId18" name="cmdPrintRation">
          <controlPr defaultSize="0" autoLine="0" r:id="rId19">
            <anchor moveWithCells="1">
              <from>
                <xdr:col>8</xdr:col>
                <xdr:colOff>733425</xdr:colOff>
                <xdr:row>27</xdr:row>
                <xdr:rowOff>76200</xdr:rowOff>
              </from>
              <to>
                <xdr:col>10</xdr:col>
                <xdr:colOff>276225</xdr:colOff>
                <xdr:row>28</xdr:row>
                <xdr:rowOff>38100</xdr:rowOff>
              </to>
            </anchor>
          </controlPr>
        </control>
      </mc:Choice>
      <mc:Fallback>
        <control shapeId="3159" r:id="rId18" name="cmdPrintRation"/>
      </mc:Fallback>
    </mc:AlternateContent>
    <mc:AlternateContent xmlns:mc="http://schemas.openxmlformats.org/markup-compatibility/2006">
      <mc:Choice Requires="x14">
        <control shapeId="3158" r:id="rId20" name="cmdPrintSummary">
          <controlPr defaultSize="0" autoLine="0" autoPict="0" r:id="rId21">
            <anchor moveWithCells="1">
              <from>
                <xdr:col>6</xdr:col>
                <xdr:colOff>200025</xdr:colOff>
                <xdr:row>27</xdr:row>
                <xdr:rowOff>104775</xdr:rowOff>
              </from>
              <to>
                <xdr:col>7</xdr:col>
                <xdr:colOff>1219200</xdr:colOff>
                <xdr:row>28</xdr:row>
                <xdr:rowOff>66675</xdr:rowOff>
              </to>
            </anchor>
          </controlPr>
        </control>
      </mc:Choice>
      <mc:Fallback>
        <control shapeId="3158" r:id="rId20" name="cmdPrintSummary"/>
      </mc:Fallback>
    </mc:AlternateContent>
    <mc:AlternateContent xmlns:mc="http://schemas.openxmlformats.org/markup-compatibility/2006">
      <mc:Choice Requires="x14">
        <control shapeId="3143" r:id="rId22" name="SpinButton2">
          <controlPr autoLine="0" linkedCell="C12" r:id="rId23">
            <anchor moveWithCells="1">
              <from>
                <xdr:col>3</xdr:col>
                <xdr:colOff>28575</xdr:colOff>
                <xdr:row>10</xdr:row>
                <xdr:rowOff>219075</xdr:rowOff>
              </from>
              <to>
                <xdr:col>3</xdr:col>
                <xdr:colOff>657225</xdr:colOff>
                <xdr:row>12</xdr:row>
                <xdr:rowOff>0</xdr:rowOff>
              </to>
            </anchor>
          </controlPr>
        </control>
      </mc:Choice>
      <mc:Fallback>
        <control shapeId="3143" r:id="rId22" name="SpinButton2"/>
      </mc:Fallback>
    </mc:AlternateContent>
    <mc:AlternateContent xmlns:mc="http://schemas.openxmlformats.org/markup-compatibility/2006">
      <mc:Choice Requires="x14">
        <control shapeId="3142" r:id="rId24" name="SpinButton1">
          <controlPr autoLine="0" autoPict="0" linkedCell="C4" r:id="rId25">
            <anchor moveWithCells="1">
              <from>
                <xdr:col>3</xdr:col>
                <xdr:colOff>0</xdr:colOff>
                <xdr:row>3</xdr:row>
                <xdr:rowOff>9525</xdr:rowOff>
              </from>
              <to>
                <xdr:col>3</xdr:col>
                <xdr:colOff>638175</xdr:colOff>
                <xdr:row>4</xdr:row>
                <xdr:rowOff>28575</xdr:rowOff>
              </to>
            </anchor>
          </controlPr>
        </control>
      </mc:Choice>
      <mc:Fallback>
        <control shapeId="3142" r:id="rId24" name="Spin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T61"/>
  <sheetViews>
    <sheetView zoomScale="80" zoomScaleNormal="80" workbookViewId="0">
      <selection activeCell="I4" sqref="I4"/>
    </sheetView>
  </sheetViews>
  <sheetFormatPr defaultRowHeight="14.25" x14ac:dyDescent="0.2"/>
  <cols>
    <col min="1" max="1" width="10.5703125" style="68" customWidth="1"/>
    <col min="2" max="2" width="38.7109375" style="68" customWidth="1"/>
    <col min="3" max="3" width="11.5703125" style="68" customWidth="1"/>
    <col min="4" max="4" width="10" style="68" customWidth="1"/>
    <col min="5" max="5" width="9.28515625" style="68" bestFit="1" customWidth="1"/>
    <col min="6" max="6" width="13.7109375" style="68" customWidth="1"/>
    <col min="7" max="7" width="34.42578125" style="68" customWidth="1"/>
    <col min="8" max="8" width="12.42578125" style="68" customWidth="1"/>
    <col min="9" max="9" width="13.7109375" style="68" customWidth="1"/>
    <col min="10" max="10" width="15.85546875" style="68" customWidth="1"/>
    <col min="11" max="16384" width="9.140625" style="68"/>
  </cols>
  <sheetData>
    <row r="1" spans="1:20" ht="27.75" customHeight="1" x14ac:dyDescent="0.4">
      <c r="A1" s="67"/>
      <c r="B1" s="906" t="s">
        <v>540</v>
      </c>
      <c r="C1" s="907"/>
      <c r="D1" s="907"/>
      <c r="E1" s="907"/>
      <c r="F1" s="907"/>
      <c r="G1" s="907"/>
      <c r="H1" s="907"/>
      <c r="I1" s="67"/>
      <c r="J1" s="67"/>
      <c r="K1" s="67"/>
      <c r="L1" s="67"/>
      <c r="M1" s="67"/>
      <c r="N1" s="67"/>
      <c r="O1" s="67"/>
      <c r="P1" s="67"/>
      <c r="Q1" s="67"/>
      <c r="R1" s="67"/>
      <c r="S1" s="67"/>
      <c r="T1" s="67"/>
    </row>
    <row r="2" spans="1:20" ht="23.25" customHeight="1" x14ac:dyDescent="0.25">
      <c r="A2" s="67"/>
      <c r="B2" s="272" t="s">
        <v>57</v>
      </c>
      <c r="C2" s="135"/>
      <c r="D2" s="78" t="s">
        <v>157</v>
      </c>
      <c r="E2" s="81"/>
      <c r="F2" s="81"/>
      <c r="G2" s="272" t="s">
        <v>74</v>
      </c>
      <c r="H2" s="135"/>
      <c r="I2" s="79" t="s">
        <v>157</v>
      </c>
      <c r="J2" s="81"/>
      <c r="K2" s="67"/>
      <c r="L2" s="67"/>
      <c r="M2" s="67"/>
      <c r="N2" s="67"/>
      <c r="O2" s="67"/>
      <c r="P2" s="67"/>
      <c r="Q2" s="67"/>
      <c r="R2" s="67"/>
      <c r="S2" s="67"/>
      <c r="T2" s="67"/>
    </row>
    <row r="3" spans="1:20" ht="15" customHeight="1" x14ac:dyDescent="0.25">
      <c r="A3" s="67"/>
      <c r="B3" s="273" t="s">
        <v>2</v>
      </c>
      <c r="C3" s="81"/>
      <c r="D3" s="81"/>
      <c r="E3" s="81"/>
      <c r="F3" s="81"/>
      <c r="G3" s="135" t="s">
        <v>455</v>
      </c>
      <c r="H3" s="274" t="s">
        <v>3</v>
      </c>
      <c r="I3" s="433">
        <v>5</v>
      </c>
      <c r="J3" s="81"/>
      <c r="K3" s="67"/>
      <c r="L3" s="67"/>
      <c r="M3" s="67"/>
      <c r="N3" s="67"/>
      <c r="O3" s="67"/>
      <c r="P3" s="67"/>
      <c r="Q3" s="67"/>
      <c r="R3" s="67"/>
      <c r="S3" s="67"/>
      <c r="T3" s="67"/>
    </row>
    <row r="4" spans="1:20" ht="15" customHeight="1" x14ac:dyDescent="0.25">
      <c r="A4" s="67"/>
      <c r="B4" s="135" t="s">
        <v>86</v>
      </c>
      <c r="C4" s="274" t="s">
        <v>83</v>
      </c>
      <c r="D4" s="432">
        <v>1</v>
      </c>
      <c r="E4" s="81"/>
      <c r="F4" s="81"/>
      <c r="G4" s="135" t="s">
        <v>456</v>
      </c>
      <c r="H4" s="274" t="s">
        <v>3</v>
      </c>
      <c r="I4" s="433">
        <v>5</v>
      </c>
      <c r="J4" s="81"/>
      <c r="K4" s="67"/>
      <c r="L4" s="67"/>
      <c r="M4" s="67"/>
      <c r="N4" s="67"/>
      <c r="O4" s="67"/>
      <c r="P4" s="67"/>
      <c r="Q4" s="67"/>
      <c r="R4" s="67"/>
      <c r="S4" s="67"/>
      <c r="T4" s="67"/>
    </row>
    <row r="5" spans="1:20" ht="15" customHeight="1" x14ac:dyDescent="0.25">
      <c r="A5" s="67"/>
      <c r="B5" s="135" t="s">
        <v>85</v>
      </c>
      <c r="C5" s="274" t="s">
        <v>83</v>
      </c>
      <c r="D5" s="432">
        <v>94</v>
      </c>
      <c r="E5" s="81"/>
      <c r="F5" s="81"/>
      <c r="G5" s="135" t="s">
        <v>457</v>
      </c>
      <c r="H5" s="274" t="s">
        <v>3</v>
      </c>
      <c r="I5" s="433">
        <v>0</v>
      </c>
      <c r="J5" s="81"/>
      <c r="K5" s="67"/>
      <c r="L5" s="67"/>
      <c r="M5" s="67"/>
      <c r="N5" s="67"/>
      <c r="O5" s="67"/>
      <c r="P5" s="67"/>
      <c r="Q5" s="67"/>
      <c r="R5" s="67"/>
      <c r="S5" s="67"/>
      <c r="T5" s="67"/>
    </row>
    <row r="6" spans="1:20" ht="15" customHeight="1" x14ac:dyDescent="0.25">
      <c r="A6" s="67"/>
      <c r="B6" s="135" t="s">
        <v>87</v>
      </c>
      <c r="C6" s="274" t="s">
        <v>83</v>
      </c>
      <c r="D6" s="432">
        <v>5</v>
      </c>
      <c r="E6" s="81"/>
      <c r="F6" s="81"/>
      <c r="G6" s="135" t="s">
        <v>458</v>
      </c>
      <c r="H6" s="274" t="s">
        <v>3</v>
      </c>
      <c r="I6" s="433">
        <v>0</v>
      </c>
      <c r="J6" s="81"/>
      <c r="K6" s="67"/>
      <c r="L6" s="67"/>
      <c r="M6" s="67"/>
      <c r="N6" s="67"/>
      <c r="O6" s="67"/>
      <c r="P6" s="67"/>
      <c r="Q6" s="67"/>
      <c r="R6" s="67"/>
      <c r="S6" s="67"/>
      <c r="T6" s="67"/>
    </row>
    <row r="7" spans="1:20" ht="15" customHeight="1" x14ac:dyDescent="0.25">
      <c r="A7" s="67"/>
      <c r="B7" s="135" t="s">
        <v>88</v>
      </c>
      <c r="C7" s="274" t="s">
        <v>83</v>
      </c>
      <c r="D7" s="489">
        <f>C56</f>
        <v>0</v>
      </c>
      <c r="E7" s="81"/>
      <c r="F7" s="81"/>
      <c r="G7" s="135" t="s">
        <v>75</v>
      </c>
      <c r="H7" s="274" t="s">
        <v>459</v>
      </c>
      <c r="I7" s="433">
        <v>5</v>
      </c>
      <c r="J7" s="81"/>
      <c r="K7" s="67"/>
      <c r="L7" s="67"/>
      <c r="M7" s="67"/>
      <c r="N7" s="67"/>
      <c r="O7" s="67"/>
      <c r="P7" s="67"/>
      <c r="Q7" s="67"/>
      <c r="R7" s="67"/>
      <c r="S7" s="67"/>
      <c r="T7" s="67"/>
    </row>
    <row r="8" spans="1:20" ht="15" customHeight="1" x14ac:dyDescent="0.25">
      <c r="A8" s="67"/>
      <c r="B8" s="275" t="s">
        <v>47</v>
      </c>
      <c r="C8" s="282"/>
      <c r="D8" s="282"/>
      <c r="E8" s="81"/>
      <c r="F8" s="81"/>
      <c r="G8" s="135" t="s">
        <v>76</v>
      </c>
      <c r="H8" s="274" t="s">
        <v>48</v>
      </c>
      <c r="I8" s="433">
        <v>13</v>
      </c>
      <c r="J8" s="81"/>
      <c r="K8" s="67"/>
      <c r="L8" s="67"/>
      <c r="M8" s="67"/>
      <c r="N8" s="67"/>
      <c r="O8" s="67"/>
      <c r="P8" s="67"/>
      <c r="Q8" s="67"/>
      <c r="R8" s="67"/>
      <c r="S8" s="67"/>
      <c r="T8" s="67"/>
    </row>
    <row r="9" spans="1:20" ht="15" customHeight="1" x14ac:dyDescent="0.25">
      <c r="A9" s="67"/>
      <c r="B9" s="135" t="s">
        <v>283</v>
      </c>
      <c r="C9" s="274" t="s">
        <v>71</v>
      </c>
      <c r="D9" s="432">
        <v>3</v>
      </c>
      <c r="E9" s="81"/>
      <c r="F9" s="81"/>
      <c r="G9" s="135" t="s">
        <v>402</v>
      </c>
      <c r="H9" s="274" t="s">
        <v>49</v>
      </c>
      <c r="I9" s="433"/>
      <c r="J9" s="81"/>
      <c r="K9" s="67"/>
      <c r="L9" s="67"/>
      <c r="M9" s="67"/>
      <c r="N9" s="67"/>
      <c r="O9" s="67"/>
      <c r="P9" s="67"/>
      <c r="Q9" s="67"/>
      <c r="R9" s="67"/>
      <c r="S9" s="67"/>
      <c r="T9" s="67"/>
    </row>
    <row r="10" spans="1:20" ht="15" customHeight="1" x14ac:dyDescent="0.25">
      <c r="A10" s="67"/>
      <c r="B10" s="135" t="s">
        <v>72</v>
      </c>
      <c r="C10" s="274" t="s">
        <v>73</v>
      </c>
      <c r="D10" s="430">
        <v>8</v>
      </c>
      <c r="E10" s="81"/>
      <c r="F10" s="81"/>
      <c r="G10" s="81"/>
      <c r="H10" s="81"/>
      <c r="I10" s="81"/>
      <c r="J10" s="81"/>
      <c r="K10" s="67"/>
      <c r="L10" s="67"/>
      <c r="M10" s="67"/>
      <c r="N10" s="67"/>
      <c r="O10" s="67"/>
      <c r="P10" s="67"/>
      <c r="Q10" s="67"/>
      <c r="R10" s="67"/>
      <c r="S10" s="67"/>
      <c r="T10" s="67"/>
    </row>
    <row r="11" spans="1:20" ht="15" customHeight="1" x14ac:dyDescent="0.25">
      <c r="A11" s="67"/>
      <c r="B11" s="135" t="s">
        <v>284</v>
      </c>
      <c r="C11" s="274" t="s">
        <v>71</v>
      </c>
      <c r="D11" s="430"/>
      <c r="E11" s="81"/>
      <c r="F11" s="81"/>
      <c r="G11" s="272" t="s">
        <v>70</v>
      </c>
      <c r="H11" s="252" t="s">
        <v>49</v>
      </c>
      <c r="I11" s="252" t="s">
        <v>50</v>
      </c>
      <c r="J11" s="252" t="s">
        <v>202</v>
      </c>
      <c r="K11" s="80"/>
      <c r="L11" s="67"/>
      <c r="M11" s="67"/>
      <c r="N11" s="67"/>
      <c r="O11" s="67"/>
      <c r="P11" s="67"/>
      <c r="Q11" s="67"/>
      <c r="R11" s="67"/>
      <c r="S11" s="67"/>
      <c r="T11" s="67"/>
    </row>
    <row r="12" spans="1:20" ht="15" customHeight="1" x14ac:dyDescent="0.25">
      <c r="A12" s="67"/>
      <c r="B12" s="135" t="s">
        <v>285</v>
      </c>
      <c r="C12" s="274" t="s">
        <v>73</v>
      </c>
      <c r="D12" s="430"/>
      <c r="E12" s="81"/>
      <c r="F12" s="81"/>
      <c r="G12" s="276" t="s">
        <v>51</v>
      </c>
      <c r="H12" s="277">
        <v>10000</v>
      </c>
      <c r="I12" s="278">
        <v>5</v>
      </c>
      <c r="J12" s="278">
        <v>100</v>
      </c>
      <c r="K12" s="374">
        <f t="shared" ref="K12:K18" si="0">+H12*I12*0.01*J12*0.01</f>
        <v>500</v>
      </c>
      <c r="L12" s="374">
        <f t="shared" ref="L12:L17" si="1">SUM(J12*H12)*0.01</f>
        <v>10000</v>
      </c>
      <c r="M12" s="67"/>
      <c r="N12" s="67"/>
      <c r="O12" s="67"/>
      <c r="P12" s="67"/>
      <c r="Q12" s="67"/>
      <c r="R12" s="67"/>
      <c r="S12" s="67"/>
      <c r="T12" s="67"/>
    </row>
    <row r="13" spans="1:20" ht="15" customHeight="1" x14ac:dyDescent="0.25">
      <c r="A13" s="67"/>
      <c r="B13" s="275" t="s">
        <v>82</v>
      </c>
      <c r="C13" s="282"/>
      <c r="D13" s="282"/>
      <c r="E13" s="81"/>
      <c r="F13" s="81"/>
      <c r="G13" s="276" t="s">
        <v>52</v>
      </c>
      <c r="H13" s="277">
        <v>10000</v>
      </c>
      <c r="I13" s="278">
        <v>5</v>
      </c>
      <c r="J13" s="278">
        <v>100</v>
      </c>
      <c r="K13" s="374">
        <f t="shared" si="0"/>
        <v>500</v>
      </c>
      <c r="L13" s="374">
        <f t="shared" si="1"/>
        <v>10000</v>
      </c>
      <c r="M13" s="67"/>
      <c r="N13" s="67"/>
      <c r="O13" s="67"/>
      <c r="P13" s="67"/>
      <c r="Q13" s="67"/>
      <c r="R13" s="67"/>
      <c r="S13" s="67"/>
      <c r="T13" s="67"/>
    </row>
    <row r="14" spans="1:20" ht="15" customHeight="1" x14ac:dyDescent="0.25">
      <c r="A14" s="67"/>
      <c r="B14" s="135" t="s">
        <v>513</v>
      </c>
      <c r="C14" s="274" t="s">
        <v>84</v>
      </c>
      <c r="D14" s="429">
        <v>100</v>
      </c>
      <c r="E14" s="280" t="str">
        <f>IF(D14&gt;0.1,"",IF(D16&gt;0.1,"","NO VALUE DFT 2"))</f>
        <v/>
      </c>
      <c r="F14" s="81"/>
      <c r="G14" s="276" t="s">
        <v>53</v>
      </c>
      <c r="H14" s="277">
        <v>50000</v>
      </c>
      <c r="I14" s="278">
        <v>5</v>
      </c>
      <c r="J14" s="278">
        <v>5</v>
      </c>
      <c r="K14" s="374">
        <f t="shared" si="0"/>
        <v>125</v>
      </c>
      <c r="L14" s="374">
        <f t="shared" si="1"/>
        <v>2500</v>
      </c>
      <c r="M14" s="67"/>
      <c r="N14" s="67"/>
      <c r="O14" s="67"/>
      <c r="P14" s="67"/>
      <c r="Q14" s="67"/>
      <c r="R14" s="67"/>
      <c r="S14" s="67"/>
      <c r="T14" s="67"/>
    </row>
    <row r="15" spans="1:20" ht="15" customHeight="1" x14ac:dyDescent="0.25">
      <c r="A15" s="67"/>
      <c r="B15" s="135" t="s">
        <v>91</v>
      </c>
      <c r="C15" s="274" t="s">
        <v>84</v>
      </c>
      <c r="D15" s="429">
        <v>100</v>
      </c>
      <c r="E15" s="81"/>
      <c r="F15" s="81"/>
      <c r="G15" s="276" t="s">
        <v>54</v>
      </c>
      <c r="H15" s="277">
        <v>5000</v>
      </c>
      <c r="I15" s="278">
        <v>5</v>
      </c>
      <c r="J15" s="278">
        <v>50</v>
      </c>
      <c r="K15" s="374">
        <f t="shared" si="0"/>
        <v>125</v>
      </c>
      <c r="L15" s="374">
        <f t="shared" si="1"/>
        <v>2500</v>
      </c>
      <c r="M15" s="67"/>
      <c r="N15" s="67"/>
      <c r="O15" s="67"/>
      <c r="P15" s="67"/>
      <c r="Q15" s="67"/>
      <c r="R15" s="67"/>
      <c r="S15" s="67"/>
      <c r="T15" s="67"/>
    </row>
    <row r="16" spans="1:20" ht="15" customHeight="1" x14ac:dyDescent="0.25">
      <c r="A16" s="67"/>
      <c r="B16" s="272" t="s">
        <v>508</v>
      </c>
      <c r="C16" s="253" t="s">
        <v>63</v>
      </c>
      <c r="D16" s="431"/>
      <c r="E16" s="908"/>
      <c r="F16" s="909"/>
      <c r="G16" s="276" t="s">
        <v>55</v>
      </c>
      <c r="H16" s="277">
        <v>25000</v>
      </c>
      <c r="I16" s="278">
        <v>10</v>
      </c>
      <c r="J16" s="278">
        <v>50</v>
      </c>
      <c r="K16" s="374">
        <f t="shared" si="0"/>
        <v>1250</v>
      </c>
      <c r="L16" s="374">
        <f t="shared" si="1"/>
        <v>12500</v>
      </c>
      <c r="M16" s="67"/>
      <c r="N16" s="67"/>
      <c r="O16" s="67"/>
      <c r="P16" s="67"/>
      <c r="Q16" s="67"/>
      <c r="R16" s="67"/>
      <c r="S16" s="67"/>
      <c r="T16" s="67"/>
    </row>
    <row r="17" spans="1:20" ht="15" customHeight="1" x14ac:dyDescent="0.25">
      <c r="A17" s="67"/>
      <c r="B17" s="135" t="s">
        <v>145</v>
      </c>
      <c r="C17" s="274" t="s">
        <v>83</v>
      </c>
      <c r="D17" s="429">
        <v>10</v>
      </c>
      <c r="E17" s="279"/>
      <c r="F17" s="81"/>
      <c r="G17" s="276" t="s">
        <v>161</v>
      </c>
      <c r="H17" s="277">
        <v>2000</v>
      </c>
      <c r="I17" s="278">
        <v>20</v>
      </c>
      <c r="J17" s="278">
        <v>100</v>
      </c>
      <c r="K17" s="374">
        <f t="shared" si="0"/>
        <v>400</v>
      </c>
      <c r="L17" s="374">
        <f t="shared" si="1"/>
        <v>2000</v>
      </c>
      <c r="M17" s="67"/>
      <c r="N17" s="67"/>
      <c r="O17" s="67"/>
      <c r="P17" s="67"/>
      <c r="Q17" s="67"/>
      <c r="R17" s="67"/>
      <c r="S17" s="67"/>
      <c r="T17" s="67"/>
    </row>
    <row r="18" spans="1:20" ht="15" customHeight="1" x14ac:dyDescent="0.25">
      <c r="A18" s="67"/>
      <c r="B18" s="273" t="s">
        <v>99</v>
      </c>
      <c r="C18" s="282"/>
      <c r="D18" s="282"/>
      <c r="E18" s="81"/>
      <c r="F18" s="81"/>
      <c r="G18" s="268" t="s">
        <v>384</v>
      </c>
      <c r="H18" s="277"/>
      <c r="I18" s="278">
        <v>10</v>
      </c>
      <c r="J18" s="278"/>
      <c r="K18" s="374">
        <f t="shared" si="0"/>
        <v>0</v>
      </c>
      <c r="L18" s="374">
        <f>SUM(L12:L17)</f>
        <v>39500</v>
      </c>
      <c r="M18" s="67"/>
      <c r="N18" s="67"/>
      <c r="O18" s="67"/>
      <c r="P18" s="67"/>
      <c r="Q18" s="67"/>
      <c r="R18" s="67"/>
      <c r="S18" s="67"/>
      <c r="T18" s="67"/>
    </row>
    <row r="19" spans="1:20" ht="15" customHeight="1" x14ac:dyDescent="0.25">
      <c r="A19" s="67"/>
      <c r="B19" s="135" t="s">
        <v>61</v>
      </c>
      <c r="C19" s="274" t="s">
        <v>63</v>
      </c>
      <c r="D19" s="430">
        <v>3</v>
      </c>
      <c r="E19" s="277">
        <v>100</v>
      </c>
      <c r="F19" s="280" t="s">
        <v>3</v>
      </c>
      <c r="G19" s="135" t="s">
        <v>56</v>
      </c>
      <c r="H19" s="277">
        <v>0</v>
      </c>
      <c r="I19" s="281"/>
      <c r="J19" s="282"/>
      <c r="K19" s="80">
        <f>SUM(K12:K18)</f>
        <v>2900</v>
      </c>
      <c r="L19" s="67"/>
      <c r="M19" s="67"/>
      <c r="N19" s="67"/>
      <c r="O19" s="67"/>
      <c r="P19" s="67"/>
      <c r="Q19" s="67"/>
      <c r="R19" s="67"/>
      <c r="S19" s="67"/>
      <c r="T19" s="67"/>
    </row>
    <row r="20" spans="1:20" ht="15" customHeight="1" x14ac:dyDescent="0.25">
      <c r="A20" s="67"/>
      <c r="B20" s="135" t="s">
        <v>6</v>
      </c>
      <c r="C20" s="274" t="s">
        <v>63</v>
      </c>
      <c r="D20" s="430"/>
      <c r="E20" s="277"/>
      <c r="F20" s="280" t="s">
        <v>3</v>
      </c>
      <c r="G20" s="135" t="s">
        <v>110</v>
      </c>
      <c r="H20" s="283">
        <f>IF(H19="",0,IF(H19=0,0,K19/H19))</f>
        <v>0</v>
      </c>
      <c r="I20" s="284"/>
      <c r="J20" s="282"/>
      <c r="K20" s="67"/>
      <c r="L20" s="67"/>
      <c r="M20" s="67"/>
      <c r="N20" s="67"/>
      <c r="O20" s="67"/>
      <c r="P20" s="67"/>
      <c r="Q20" s="67"/>
      <c r="R20" s="67"/>
      <c r="S20" s="67"/>
      <c r="T20" s="67"/>
    </row>
    <row r="21" spans="1:20" ht="15" customHeight="1" x14ac:dyDescent="0.25">
      <c r="A21" s="67"/>
      <c r="B21" s="135" t="s">
        <v>64</v>
      </c>
      <c r="C21" s="274" t="s">
        <v>63</v>
      </c>
      <c r="D21" s="277">
        <v>0.5</v>
      </c>
      <c r="E21" s="746">
        <v>1</v>
      </c>
      <c r="F21" s="280" t="s">
        <v>262</v>
      </c>
      <c r="G21" s="81"/>
      <c r="H21" s="81"/>
      <c r="I21" s="81"/>
      <c r="J21" s="81"/>
      <c r="K21" s="67"/>
      <c r="L21" s="67"/>
      <c r="M21" s="67"/>
      <c r="N21" s="67"/>
      <c r="O21" s="67"/>
      <c r="P21" s="67"/>
      <c r="Q21" s="67"/>
      <c r="R21" s="67"/>
      <c r="S21" s="67"/>
      <c r="T21" s="67"/>
    </row>
    <row r="22" spans="1:20" ht="15" customHeight="1" x14ac:dyDescent="0.25">
      <c r="A22" s="67"/>
      <c r="B22" s="135" t="s">
        <v>281</v>
      </c>
      <c r="C22" s="274" t="s">
        <v>63</v>
      </c>
      <c r="D22" s="430">
        <v>0.25</v>
      </c>
      <c r="E22" s="746">
        <v>1</v>
      </c>
      <c r="F22" s="81"/>
      <c r="G22" s="81"/>
      <c r="H22" s="81"/>
      <c r="I22" s="81"/>
      <c r="J22" s="81"/>
      <c r="K22" s="67"/>
      <c r="L22" s="67"/>
      <c r="M22" s="67"/>
      <c r="N22" s="67"/>
      <c r="O22" s="67"/>
      <c r="P22" s="67"/>
      <c r="Q22" s="67"/>
      <c r="R22" s="67"/>
      <c r="S22" s="67"/>
      <c r="T22" s="67"/>
    </row>
    <row r="23" spans="1:20" ht="15" customHeight="1" x14ac:dyDescent="0.25">
      <c r="A23" s="67"/>
      <c r="B23" s="268" t="s">
        <v>597</v>
      </c>
      <c r="C23" s="274" t="s">
        <v>63</v>
      </c>
      <c r="D23" s="430"/>
      <c r="E23" s="746"/>
      <c r="F23" s="81"/>
      <c r="G23" s="81"/>
      <c r="H23" s="81"/>
      <c r="I23" s="81"/>
      <c r="J23" s="81"/>
      <c r="K23" s="67"/>
      <c r="L23" s="67"/>
      <c r="M23" s="67"/>
      <c r="N23" s="67"/>
      <c r="O23" s="67"/>
      <c r="P23" s="67"/>
      <c r="Q23" s="67"/>
      <c r="R23" s="67"/>
      <c r="S23" s="67"/>
      <c r="T23" s="67"/>
    </row>
    <row r="24" spans="1:20" ht="15" customHeight="1" x14ac:dyDescent="0.25">
      <c r="A24" s="67"/>
      <c r="B24" s="268" t="s">
        <v>596</v>
      </c>
      <c r="C24" s="274" t="s">
        <v>63</v>
      </c>
      <c r="D24" s="430"/>
      <c r="E24" s="746"/>
      <c r="F24" s="81"/>
      <c r="G24" s="81"/>
      <c r="H24" s="81"/>
      <c r="I24" s="81"/>
      <c r="J24" s="81"/>
      <c r="K24" s="67"/>
      <c r="L24" s="67"/>
      <c r="M24" s="67"/>
      <c r="N24" s="67"/>
      <c r="O24" s="67"/>
      <c r="P24" s="67"/>
      <c r="Q24" s="67"/>
      <c r="R24" s="67"/>
      <c r="S24" s="67"/>
      <c r="T24" s="67"/>
    </row>
    <row r="25" spans="1:20" ht="15" customHeight="1" x14ac:dyDescent="0.25">
      <c r="A25" s="67"/>
      <c r="B25" s="285" t="s">
        <v>65</v>
      </c>
      <c r="C25" s="274" t="s">
        <v>63</v>
      </c>
      <c r="D25" s="430"/>
      <c r="E25" s="746"/>
      <c r="F25" s="81"/>
      <c r="G25" s="81"/>
      <c r="H25" s="81"/>
      <c r="I25" s="81"/>
      <c r="J25" s="81"/>
      <c r="K25" s="67"/>
      <c r="L25" s="67"/>
      <c r="M25" s="67"/>
      <c r="N25" s="67"/>
      <c r="O25" s="67"/>
      <c r="P25" s="67"/>
      <c r="Q25" s="67"/>
      <c r="R25" s="67"/>
      <c r="S25" s="67"/>
      <c r="T25" s="67"/>
    </row>
    <row r="26" spans="1:20" ht="15" customHeight="1" x14ac:dyDescent="0.25">
      <c r="A26" s="67"/>
      <c r="B26" s="270" t="s">
        <v>388</v>
      </c>
      <c r="C26" s="274" t="s">
        <v>63</v>
      </c>
      <c r="D26" s="430">
        <v>0.5</v>
      </c>
      <c r="E26" s="746">
        <v>1</v>
      </c>
      <c r="F26" s="81"/>
      <c r="G26" s="81"/>
      <c r="H26" s="81"/>
      <c r="I26" s="81"/>
      <c r="J26" s="81"/>
      <c r="K26" s="67"/>
      <c r="L26" s="67"/>
      <c r="M26" s="67"/>
      <c r="N26" s="67"/>
      <c r="O26" s="67"/>
      <c r="P26" s="67"/>
      <c r="Q26" s="67"/>
      <c r="R26" s="67"/>
      <c r="S26" s="67"/>
      <c r="T26" s="67"/>
    </row>
    <row r="27" spans="1:20" ht="15" customHeight="1" x14ac:dyDescent="0.25">
      <c r="A27" s="67"/>
      <c r="B27" s="270" t="s">
        <v>389</v>
      </c>
      <c r="C27" s="274" t="s">
        <v>63</v>
      </c>
      <c r="D27" s="430">
        <v>0.5</v>
      </c>
      <c r="E27" s="746">
        <v>1</v>
      </c>
      <c r="F27" s="81"/>
      <c r="G27" s="81"/>
      <c r="H27" s="81"/>
      <c r="I27" s="81"/>
      <c r="J27" s="81"/>
      <c r="K27" s="67"/>
      <c r="L27" s="67"/>
      <c r="M27" s="67"/>
      <c r="N27" s="67"/>
      <c r="O27" s="67"/>
      <c r="P27" s="67"/>
      <c r="Q27" s="67"/>
      <c r="R27" s="67"/>
      <c r="S27" s="67"/>
      <c r="T27" s="67"/>
    </row>
    <row r="28" spans="1:20" ht="15" customHeight="1" x14ac:dyDescent="0.25">
      <c r="A28" s="67"/>
      <c r="B28" s="269" t="s">
        <v>608</v>
      </c>
      <c r="C28" s="274" t="s">
        <v>63</v>
      </c>
      <c r="D28" s="430">
        <v>0.3</v>
      </c>
      <c r="E28" s="746">
        <v>1</v>
      </c>
      <c r="F28" s="81"/>
      <c r="G28" s="81"/>
      <c r="H28" s="81"/>
      <c r="I28" s="81"/>
      <c r="J28" s="81"/>
      <c r="K28" s="67"/>
      <c r="L28" s="67"/>
      <c r="M28" s="67"/>
      <c r="N28" s="67"/>
      <c r="O28" s="67"/>
      <c r="P28" s="67"/>
      <c r="Q28" s="67"/>
      <c r="R28" s="67"/>
      <c r="S28" s="67"/>
      <c r="T28" s="67"/>
    </row>
    <row r="29" spans="1:20" ht="15" customHeight="1" x14ac:dyDescent="0.25">
      <c r="A29" s="67"/>
      <c r="B29" s="285" t="s">
        <v>9</v>
      </c>
      <c r="C29" s="274" t="s">
        <v>63</v>
      </c>
      <c r="D29" s="430"/>
      <c r="E29" s="81"/>
      <c r="F29" s="81"/>
      <c r="G29" s="81"/>
      <c r="H29" s="81"/>
      <c r="I29" s="81"/>
      <c r="J29" s="81"/>
      <c r="K29" s="67"/>
      <c r="L29" s="67"/>
      <c r="M29" s="67"/>
      <c r="N29" s="67"/>
      <c r="O29" s="67"/>
      <c r="P29" s="67"/>
      <c r="Q29" s="67"/>
      <c r="R29" s="67"/>
      <c r="S29" s="67"/>
      <c r="T29" s="67"/>
    </row>
    <row r="30" spans="1:20" ht="15" customHeight="1" x14ac:dyDescent="0.25">
      <c r="A30" s="67"/>
      <c r="B30" s="285" t="s">
        <v>390</v>
      </c>
      <c r="C30" s="274" t="s">
        <v>63</v>
      </c>
      <c r="D30" s="430">
        <v>3</v>
      </c>
      <c r="E30" s="81"/>
      <c r="F30" s="81"/>
      <c r="G30" s="81"/>
      <c r="H30" s="81"/>
      <c r="I30" s="81"/>
      <c r="J30" s="81"/>
      <c r="K30" s="67"/>
      <c r="L30" s="67"/>
      <c r="M30" s="67"/>
      <c r="N30" s="67"/>
      <c r="O30" s="67"/>
      <c r="P30" s="67"/>
      <c r="Q30" s="67"/>
      <c r="R30" s="67"/>
      <c r="S30" s="67"/>
      <c r="T30" s="67"/>
    </row>
    <row r="31" spans="1:20" ht="15" customHeight="1" x14ac:dyDescent="0.25">
      <c r="A31" s="67"/>
      <c r="B31" s="285" t="s">
        <v>394</v>
      </c>
      <c r="C31" s="274" t="s">
        <v>63</v>
      </c>
      <c r="D31" s="430"/>
      <c r="E31" s="81"/>
      <c r="F31" s="81"/>
      <c r="G31" s="81"/>
      <c r="H31" s="81"/>
      <c r="I31" s="81"/>
      <c r="J31" s="81"/>
      <c r="K31" s="67"/>
      <c r="L31" s="67"/>
      <c r="M31" s="67"/>
      <c r="N31" s="67"/>
      <c r="O31" s="67"/>
      <c r="P31" s="67"/>
      <c r="Q31" s="67"/>
      <c r="R31" s="67"/>
      <c r="S31" s="67"/>
      <c r="T31" s="67"/>
    </row>
    <row r="32" spans="1:20" ht="15" customHeight="1" x14ac:dyDescent="0.25">
      <c r="A32" s="67"/>
      <c r="B32" s="269" t="s">
        <v>383</v>
      </c>
      <c r="C32" s="274" t="s">
        <v>63</v>
      </c>
      <c r="D32" s="490">
        <f>IF(Summary!E3=6,E54,E53)</f>
        <v>1.5</v>
      </c>
      <c r="E32" s="81"/>
      <c r="F32" s="81"/>
      <c r="G32" s="81"/>
      <c r="H32" s="81"/>
      <c r="I32" s="81"/>
      <c r="J32" s="81"/>
      <c r="K32" s="67"/>
      <c r="L32" s="67"/>
      <c r="M32" s="67"/>
      <c r="N32" s="67"/>
      <c r="O32" s="67"/>
      <c r="P32" s="67"/>
      <c r="Q32" s="67"/>
      <c r="R32" s="67"/>
      <c r="S32" s="67"/>
      <c r="T32" s="67"/>
    </row>
    <row r="33" spans="1:20" ht="15" customHeight="1" x14ac:dyDescent="0.25">
      <c r="A33" s="67"/>
      <c r="B33" s="135" t="s">
        <v>7</v>
      </c>
      <c r="C33" s="274" t="s">
        <v>63</v>
      </c>
      <c r="D33" s="432"/>
      <c r="E33" s="81"/>
      <c r="F33" s="81"/>
      <c r="G33" s="279" t="s">
        <v>254</v>
      </c>
      <c r="H33" s="81"/>
      <c r="I33" s="81"/>
      <c r="J33" s="81"/>
      <c r="K33" s="67"/>
      <c r="L33" s="67"/>
      <c r="M33" s="67"/>
      <c r="N33" s="67"/>
      <c r="O33" s="67"/>
      <c r="P33" s="67"/>
      <c r="Q33" s="67"/>
      <c r="R33" s="67"/>
      <c r="S33" s="67"/>
      <c r="T33" s="67"/>
    </row>
    <row r="34" spans="1:20" ht="15" customHeight="1" x14ac:dyDescent="0.25">
      <c r="A34" s="67"/>
      <c r="B34" s="135" t="s">
        <v>8</v>
      </c>
      <c r="C34" s="274" t="s">
        <v>3</v>
      </c>
      <c r="D34" s="432">
        <v>5</v>
      </c>
      <c r="E34" s="81"/>
      <c r="F34" s="81"/>
      <c r="G34" s="285" t="s">
        <v>250</v>
      </c>
      <c r="H34" s="286"/>
      <c r="I34" s="287"/>
      <c r="J34" s="288"/>
      <c r="K34" s="67"/>
      <c r="L34" s="67"/>
      <c r="M34" s="67"/>
      <c r="N34" s="67"/>
      <c r="O34" s="67"/>
      <c r="P34" s="67"/>
      <c r="Q34" s="67"/>
      <c r="R34" s="67"/>
      <c r="S34" s="67"/>
      <c r="T34" s="67"/>
    </row>
    <row r="35" spans="1:20" ht="15" customHeight="1" x14ac:dyDescent="0.25">
      <c r="A35" s="67"/>
      <c r="B35" s="135" t="s">
        <v>67</v>
      </c>
      <c r="C35" s="274" t="s">
        <v>68</v>
      </c>
      <c r="D35" s="430">
        <v>8</v>
      </c>
      <c r="E35" s="81"/>
      <c r="F35" s="81"/>
      <c r="G35" s="285" t="s">
        <v>217</v>
      </c>
      <c r="H35" s="289"/>
      <c r="I35" s="290"/>
      <c r="J35" s="291"/>
      <c r="K35" s="67"/>
      <c r="L35" s="67"/>
      <c r="M35" s="67"/>
      <c r="N35" s="67"/>
      <c r="O35" s="67"/>
      <c r="P35" s="67"/>
      <c r="Q35" s="67"/>
      <c r="R35" s="67"/>
      <c r="S35" s="67"/>
      <c r="T35" s="67"/>
    </row>
    <row r="36" spans="1:20" ht="15" customHeight="1" x14ac:dyDescent="0.25">
      <c r="A36" s="67"/>
      <c r="B36" s="135" t="s">
        <v>69</v>
      </c>
      <c r="C36" s="274" t="s">
        <v>68</v>
      </c>
      <c r="D36" s="430">
        <v>12</v>
      </c>
      <c r="E36" s="81"/>
      <c r="F36" s="81"/>
      <c r="G36" s="285" t="s">
        <v>251</v>
      </c>
      <c r="H36" s="292"/>
      <c r="I36" s="293"/>
      <c r="J36" s="294"/>
      <c r="K36" s="67"/>
      <c r="L36" s="67"/>
      <c r="M36" s="67"/>
      <c r="N36" s="67"/>
      <c r="O36" s="67"/>
      <c r="P36" s="67"/>
      <c r="Q36" s="67"/>
      <c r="R36" s="67"/>
      <c r="S36" s="67"/>
      <c r="T36" s="67"/>
    </row>
    <row r="37" spans="1:20" ht="15" customHeight="1" x14ac:dyDescent="0.25">
      <c r="A37" s="67"/>
      <c r="B37" s="135" t="s">
        <v>282</v>
      </c>
      <c r="C37" s="274" t="s">
        <v>3</v>
      </c>
      <c r="D37" s="432">
        <v>2</v>
      </c>
      <c r="E37" s="81"/>
      <c r="F37" s="81"/>
      <c r="G37" s="295" t="s">
        <v>258</v>
      </c>
      <c r="H37" s="296"/>
      <c r="I37" s="296"/>
      <c r="J37" s="297"/>
      <c r="K37" s="67"/>
      <c r="L37" s="67"/>
      <c r="M37" s="67"/>
      <c r="N37" s="67"/>
      <c r="O37" s="67"/>
      <c r="P37" s="67"/>
      <c r="Q37" s="67"/>
      <c r="R37" s="67"/>
      <c r="S37" s="67"/>
      <c r="T37" s="67"/>
    </row>
    <row r="38" spans="1:20" ht="15" customHeight="1" x14ac:dyDescent="0.25">
      <c r="A38" s="67"/>
      <c r="B38" s="269" t="s">
        <v>454</v>
      </c>
      <c r="C38" s="305" t="s">
        <v>245</v>
      </c>
      <c r="D38" s="430"/>
      <c r="E38" s="67"/>
      <c r="F38" s="67"/>
      <c r="G38" s="910"/>
      <c r="H38" s="911"/>
      <c r="I38" s="911"/>
      <c r="J38" s="912"/>
      <c r="K38" s="67"/>
      <c r="L38" s="67"/>
      <c r="M38" s="67"/>
      <c r="N38" s="67"/>
      <c r="O38" s="67"/>
      <c r="P38" s="67"/>
      <c r="Q38" s="67"/>
      <c r="R38" s="67"/>
      <c r="S38" s="67"/>
      <c r="T38" s="67"/>
    </row>
    <row r="39" spans="1:20" ht="15" customHeight="1" x14ac:dyDescent="0.2">
      <c r="A39" s="67"/>
      <c r="B39" s="67"/>
      <c r="C39" s="67"/>
      <c r="D39" s="67"/>
      <c r="E39" s="67"/>
      <c r="F39" s="67"/>
      <c r="G39" s="67"/>
      <c r="H39" s="67"/>
      <c r="I39" s="67"/>
      <c r="J39" s="67"/>
      <c r="K39" s="67"/>
      <c r="L39" s="67"/>
      <c r="M39" s="67"/>
      <c r="N39" s="67"/>
      <c r="O39" s="67"/>
      <c r="P39" s="67"/>
      <c r="Q39" s="67"/>
      <c r="R39" s="67"/>
      <c r="S39" s="67"/>
      <c r="T39" s="67"/>
    </row>
    <row r="40" spans="1:20" ht="15" customHeight="1" x14ac:dyDescent="0.2">
      <c r="A40" s="67"/>
      <c r="B40" s="67"/>
      <c r="C40" s="67"/>
      <c r="D40" s="67"/>
      <c r="E40" s="67"/>
      <c r="F40" s="67"/>
      <c r="G40" s="67"/>
      <c r="H40" s="67"/>
      <c r="I40" s="67"/>
      <c r="J40" s="67"/>
      <c r="K40" s="67"/>
      <c r="L40" s="67"/>
      <c r="M40" s="67"/>
      <c r="N40" s="67"/>
      <c r="O40" s="67"/>
      <c r="P40" s="67"/>
      <c r="Q40" s="67"/>
      <c r="R40" s="67"/>
      <c r="S40" s="67"/>
      <c r="T40" s="67"/>
    </row>
    <row r="41" spans="1:20" ht="15" customHeight="1" x14ac:dyDescent="0.2">
      <c r="A41" s="67"/>
      <c r="B41" s="67"/>
      <c r="C41" s="67"/>
      <c r="D41" s="67"/>
      <c r="E41" s="67"/>
      <c r="F41" s="67"/>
      <c r="G41" s="67"/>
      <c r="H41" s="67"/>
      <c r="I41" s="67"/>
      <c r="J41" s="67"/>
      <c r="K41" s="67"/>
      <c r="L41" s="67"/>
      <c r="M41" s="67"/>
      <c r="N41" s="67"/>
      <c r="O41" s="67"/>
      <c r="P41" s="67"/>
      <c r="Q41" s="67"/>
      <c r="R41" s="67"/>
      <c r="S41" s="67"/>
      <c r="T41" s="67"/>
    </row>
    <row r="42" spans="1:20" ht="15" customHeight="1" x14ac:dyDescent="0.2">
      <c r="A42" s="67"/>
      <c r="B42" s="67"/>
      <c r="C42" s="67"/>
      <c r="D42" s="67"/>
      <c r="E42" s="67"/>
      <c r="F42" s="67"/>
      <c r="G42" s="67"/>
      <c r="H42" s="67"/>
      <c r="I42" s="67"/>
      <c r="J42" s="67"/>
      <c r="K42" s="67"/>
      <c r="L42" s="67"/>
      <c r="M42" s="67"/>
      <c r="N42" s="67"/>
      <c r="O42" s="67"/>
      <c r="P42" s="67"/>
      <c r="Q42" s="67"/>
      <c r="R42" s="67"/>
      <c r="S42" s="67"/>
      <c r="T42" s="67"/>
    </row>
    <row r="43" spans="1:20" ht="15" customHeight="1" x14ac:dyDescent="0.2">
      <c r="A43" s="67"/>
      <c r="B43" s="67"/>
      <c r="C43" s="67"/>
      <c r="D43" s="67"/>
      <c r="E43" s="67"/>
      <c r="F43" s="67"/>
      <c r="G43" s="67"/>
      <c r="H43" s="67"/>
      <c r="I43" s="67"/>
      <c r="J43" s="67"/>
      <c r="K43" s="67"/>
      <c r="L43" s="67"/>
      <c r="M43" s="67"/>
      <c r="N43" s="67"/>
      <c r="O43" s="67"/>
      <c r="P43" s="67"/>
      <c r="Q43" s="67"/>
      <c r="R43" s="67"/>
      <c r="S43" s="67"/>
      <c r="T43" s="67"/>
    </row>
    <row r="44" spans="1:20" ht="15" customHeight="1" x14ac:dyDescent="0.2">
      <c r="A44" s="67"/>
      <c r="B44" s="67"/>
      <c r="C44" s="67"/>
      <c r="D44" s="67"/>
      <c r="E44" s="67"/>
      <c r="F44" s="67"/>
      <c r="G44" s="67"/>
      <c r="H44" s="67"/>
      <c r="I44" s="67"/>
      <c r="J44" s="67"/>
      <c r="K44" s="67"/>
      <c r="L44" s="67"/>
      <c r="M44" s="67"/>
      <c r="N44" s="67"/>
      <c r="O44" s="67"/>
      <c r="P44" s="67"/>
      <c r="Q44" s="67"/>
      <c r="R44" s="67"/>
      <c r="S44" s="67"/>
      <c r="T44" s="67"/>
    </row>
    <row r="45" spans="1:20" ht="15" customHeight="1" x14ac:dyDescent="0.2">
      <c r="A45" s="67"/>
      <c r="B45" s="67"/>
      <c r="C45" s="67"/>
      <c r="D45" s="67"/>
      <c r="E45" s="67"/>
      <c r="F45" s="67"/>
      <c r="G45" s="67"/>
      <c r="H45" s="67"/>
      <c r="I45" s="67"/>
      <c r="J45" s="67"/>
      <c r="K45" s="67"/>
      <c r="L45" s="67"/>
      <c r="M45" s="67"/>
      <c r="N45" s="67"/>
      <c r="O45" s="67"/>
      <c r="P45" s="67"/>
      <c r="Q45" s="67"/>
      <c r="R45" s="67"/>
      <c r="S45" s="67"/>
      <c r="T45" s="67"/>
    </row>
    <row r="46" spans="1:20" ht="15" customHeight="1" x14ac:dyDescent="0.2">
      <c r="A46" s="67"/>
      <c r="B46" s="67"/>
      <c r="C46" s="67"/>
      <c r="D46" s="67"/>
      <c r="E46" s="67"/>
      <c r="F46" s="67"/>
      <c r="G46" s="67"/>
      <c r="H46" s="67"/>
      <c r="I46" s="67"/>
      <c r="J46" s="67"/>
      <c r="K46" s="67"/>
      <c r="L46" s="67"/>
      <c r="M46" s="67"/>
      <c r="N46" s="67"/>
      <c r="O46" s="67"/>
      <c r="P46" s="67"/>
      <c r="Q46" s="67"/>
      <c r="R46" s="67"/>
      <c r="S46" s="67"/>
      <c r="T46" s="67"/>
    </row>
    <row r="47" spans="1:20" ht="15" customHeight="1" x14ac:dyDescent="0.2">
      <c r="A47" s="67"/>
      <c r="B47" s="67"/>
      <c r="C47" s="67"/>
      <c r="D47" s="67"/>
      <c r="E47" s="67"/>
      <c r="F47" s="67"/>
      <c r="G47" s="67"/>
      <c r="H47" s="67"/>
      <c r="I47" s="67"/>
      <c r="J47" s="67"/>
      <c r="K47" s="67"/>
      <c r="L47" s="67"/>
      <c r="M47" s="67"/>
      <c r="N47" s="67"/>
      <c r="O47" s="67"/>
      <c r="P47" s="67"/>
      <c r="Q47" s="67"/>
      <c r="R47" s="67"/>
      <c r="S47" s="67"/>
      <c r="T47" s="67"/>
    </row>
    <row r="48" spans="1:20" hidden="1" x14ac:dyDescent="0.2"/>
    <row r="49" spans="2:5" hidden="1" x14ac:dyDescent="0.2"/>
    <row r="50" spans="2:5" hidden="1" x14ac:dyDescent="0.2"/>
    <row r="51" spans="2:5" hidden="1" x14ac:dyDescent="0.2"/>
    <row r="52" spans="2:5" hidden="1" x14ac:dyDescent="0.2">
      <c r="D52" s="68" t="s">
        <v>392</v>
      </c>
      <c r="E52" s="68" t="s">
        <v>393</v>
      </c>
    </row>
    <row r="53" spans="2:5" hidden="1" x14ac:dyDescent="0.2">
      <c r="B53" s="68" t="s">
        <v>386</v>
      </c>
      <c r="C53" s="68" t="s">
        <v>156</v>
      </c>
      <c r="D53" s="68">
        <f>Summary!D13*0.02</f>
        <v>2.7094</v>
      </c>
      <c r="E53" s="171">
        <f>IF(D53&gt;1.5,1.5,D53)</f>
        <v>1.5</v>
      </c>
    </row>
    <row r="54" spans="2:5" hidden="1" x14ac:dyDescent="0.2">
      <c r="C54" s="68" t="s">
        <v>391</v>
      </c>
      <c r="D54" s="68" t="str">
        <f>IF(Summary!E3=6,D53,"")</f>
        <v/>
      </c>
      <c r="E54" s="171">
        <f>IF(D54&gt;0.2,0.2,D54)</f>
        <v>0.2</v>
      </c>
    </row>
    <row r="55" spans="2:5" hidden="1" x14ac:dyDescent="0.2">
      <c r="B55" s="68" t="s">
        <v>506</v>
      </c>
      <c r="C55" s="301">
        <f>100-D6-D5-D4</f>
        <v>0</v>
      </c>
    </row>
    <row r="56" spans="2:5" hidden="1" x14ac:dyDescent="0.2">
      <c r="B56" s="68" t="s">
        <v>507</v>
      </c>
      <c r="C56" s="68">
        <f>IF(C55&lt;0," ERROR-ABOVE MUST =100 ",C55)</f>
        <v>0</v>
      </c>
    </row>
    <row r="57" spans="2:5" hidden="1" x14ac:dyDescent="0.2"/>
    <row r="58" spans="2:5" hidden="1" x14ac:dyDescent="0.2"/>
    <row r="59" spans="2:5" hidden="1" x14ac:dyDescent="0.2"/>
    <row r="60" spans="2:5" hidden="1" x14ac:dyDescent="0.2"/>
    <row r="61" spans="2:5" hidden="1" x14ac:dyDescent="0.2"/>
  </sheetData>
  <sheetProtection password="BEC1" sheet="1" selectLockedCells="1"/>
  <mergeCells count="3">
    <mergeCell ref="B1:H1"/>
    <mergeCell ref="E16:F16"/>
    <mergeCell ref="G38:J38"/>
  </mergeCells>
  <phoneticPr fontId="87" type="noConversion"/>
  <dataValidations count="36">
    <dataValidation type="whole" allowBlank="1" showInputMessage="1" showErrorMessage="1" error="0 to $200000 " sqref="H18">
      <formula1>0</formula1>
      <formula2>200000</formula2>
    </dataValidation>
    <dataValidation type="whole" allowBlank="1" showInputMessage="1" showErrorMessage="1" error="0 to 150000  lambs/year" sqref="H19">
      <formula1>0</formula1>
      <formula2>30000</formula2>
    </dataValidation>
    <dataValidation type="whole" allowBlank="1" showInputMessage="1" showErrorMessage="1" sqref="E21:E28">
      <formula1>0</formula1>
      <formula2>3</formula2>
    </dataValidation>
    <dataValidation type="decimal" allowBlank="1" showInputMessage="1" showErrorMessage="1" error="can shear between none (0) and all (100)%_x000a_" sqref="E19:E20">
      <formula1>0</formula1>
      <formula2>100</formula2>
    </dataValidation>
    <dataValidation type="decimal" allowBlank="1" showInputMessage="1" showErrorMessage="1" error="deaths between 0 and 15 allowed" sqref="D4">
      <formula1>0</formula1>
      <formula2>15</formula2>
    </dataValidation>
    <dataValidation type="decimal" allowBlank="1" showInputMessage="1" showErrorMessage="1" error="30 to 100% allowed" sqref="D5">
      <formula1>30</formula1>
      <formula2>100</formula2>
    </dataValidation>
    <dataValidation type="decimal" allowBlank="1" showInputMessage="1" showErrorMessage="1" error="between 0 and 20% allowed" sqref="D6">
      <formula1>2</formula1>
      <formula2>20</formula2>
    </dataValidation>
    <dataValidation type="decimal" allowBlank="1" showInputMessage="1" showErrorMessage="1" error="between 0 and 12 kgs allowed" sqref="D9">
      <formula1>0</formula1>
      <formula2>12</formula2>
    </dataValidation>
    <dataValidation type="decimal" allowBlank="1" showInputMessage="1" showErrorMessage="1" error="between 0 and $20.00 kg allowed" sqref="D10">
      <formula1>0</formula1>
      <formula2>20</formula2>
    </dataValidation>
    <dataValidation type="decimal" allowBlank="1" showInputMessage="1" showErrorMessage="1" error="between 0 and 2 kgs allowed" sqref="D11">
      <formula1>0</formula1>
      <formula2>2</formula2>
    </dataValidation>
    <dataValidation type="decimal" allowBlank="1" showInputMessage="1" showErrorMessage="1" error="between 0 and $10.00 kg allowed" sqref="D12">
      <formula1>0</formula1>
      <formula2>10</formula2>
    </dataValidation>
    <dataValidation type="decimal" allowBlank="1" showInputMessage="1" showErrorMessage="1" error="between 0 and 15% annual interest allowed" sqref="D17">
      <formula1>0</formula1>
      <formula2>15</formula2>
    </dataValidation>
    <dataValidation type="decimal" allowBlank="1" showInputMessage="1" showErrorMessage="1" error="Shearing cost to $10 " sqref="D19">
      <formula1>0</formula1>
      <formula2>10</formula2>
    </dataValidation>
    <dataValidation type="decimal" allowBlank="1" showInputMessage="1" showErrorMessage="1" error="crutching cost $1 to $6" sqref="D20">
      <formula1>1</formula1>
      <formula2>6</formula2>
    </dataValidation>
    <dataValidation type="decimal" allowBlank="1" showInputMessage="1" showErrorMessage="1" error="Drench cost to $1.00/hd" sqref="D21">
      <formula1>0</formula1>
      <formula2>1</formula2>
    </dataValidation>
    <dataValidation type="decimal" allowBlank="1" showInputMessage="1" showErrorMessage="1" error="commission to 10.0% is allowed " sqref="D37">
      <formula1>0</formula1>
      <formula2>10</formula2>
    </dataValidation>
    <dataValidation type="decimal" allowBlank="1" showInputMessage="1" showErrorMessage="1" error="$0 to $30 wool transport cost/bale" sqref="D35">
      <formula1>0</formula1>
      <formula2>30</formula2>
    </dataValidation>
    <dataValidation type="decimal" allowBlank="1" showInputMessage="1" showErrorMessage="1" error="commission from 0 to 10.0%" sqref="D33:D34">
      <formula1>0</formula1>
      <formula2>10</formula2>
    </dataValidation>
    <dataValidation type="whole" allowBlank="1" showInputMessage="1" showErrorMessage="1" error="0 to 25% range" sqref="I3 I5:I6">
      <formula1>0</formula1>
      <formula2>25</formula2>
    </dataValidation>
    <dataValidation type="whole" allowBlank="1" showInputMessage="1" showErrorMessage="1" error="0 to 50 cents/lamb/day" sqref="I7">
      <formula1>0</formula1>
      <formula2>50</formula2>
    </dataValidation>
    <dataValidation type="whole" allowBlank="1" showInputMessage="1" showErrorMessage="1" error="0 to $50/tonne as fed" sqref="I8">
      <formula1>0</formula1>
      <formula2>50</formula2>
    </dataValidation>
    <dataValidation type="whole" allowBlank="1" showInputMessage="1" showErrorMessage="1" error="$0 to $200" sqref="I9">
      <formula1>0</formula1>
      <formula2>200</formula2>
    </dataValidation>
    <dataValidation type="whole" allowBlank="1" showInputMessage="1" showErrorMessage="1" error="0 to 50% range" sqref="I4">
      <formula1>0</formula1>
      <formula2>50</formula2>
    </dataValidation>
    <dataValidation type="whole" allowBlank="1" showInputMessage="1" showErrorMessage="1" error="0to 30% range" sqref="I12:J18">
      <formula1>0</formula1>
      <formula2>100</formula2>
    </dataValidation>
    <dataValidation type="decimal" allowBlank="1" showInputMessage="1" showErrorMessage="1" error="carcase freight to $2.50/kg HCWT" sqref="D38">
      <formula1>0</formula1>
      <formula2>2.5</formula2>
    </dataValidation>
    <dataValidation type="decimal" allowBlank="1" showInputMessage="1" showErrorMessage="1" error="0 to 20% allowed" sqref="K19">
      <formula1>0</formula1>
      <formula2>20</formula2>
    </dataValidation>
    <dataValidation type="decimal" allowBlank="1" showInputMessage="1" showErrorMessage="1" error="Fly cost to $3.00" sqref="D22">
      <formula1>0</formula1>
      <formula2>3</formula2>
    </dataValidation>
    <dataValidation type="decimal" allowBlank="1" showInputMessage="1" showErrorMessage="1" error="to $2 allowed" sqref="D25">
      <formula1>0</formula1>
      <formula2>2</formula2>
    </dataValidation>
    <dataValidation type="decimal" allowBlank="1" showInputMessage="1" showErrorMessage="1" error="up to $20 allowed" sqref="D30">
      <formula1>0</formula1>
      <formula2>20</formula2>
    </dataValidation>
    <dataValidation type="decimal" allowBlank="1" showInputMessage="1" showErrorMessage="1" error="up t $25 allowed" sqref="D31">
      <formula1>0</formula1>
      <formula2>25</formula2>
    </dataValidation>
    <dataValidation type="decimal" allowBlank="1" showInputMessage="1" showErrorMessage="1" error="$0 to $30  cost/bale" sqref="D36">
      <formula1>0</formula1>
      <formula2>30</formula2>
    </dataValidation>
    <dataValidation type="decimal" allowBlank="1" showInputMessage="1" showErrorMessage="1" error="between 0 and 150% _x000a_allowed" sqref="D15">
      <formula1>0</formula1>
      <formula2>150</formula2>
    </dataValidation>
    <dataValidation type="decimal" allowBlank="1" showInputMessage="1" showErrorMessage="1" error="between $0 and $300 allowed_x000a_" sqref="D16">
      <formula1>0</formula1>
      <formula2>300</formula2>
    </dataValidation>
    <dataValidation type="decimal" allowBlank="1" showInputMessage="1" showErrorMessage="1" error="between 0 and 150% _x000a_allowed" sqref="D14">
      <formula1>0</formula1>
      <formula2>150</formula2>
    </dataValidation>
    <dataValidation type="decimal" allowBlank="1" showInputMessage="1" showErrorMessage="1" error="up to $40 allowed" sqref="D29">
      <formula1>0</formula1>
      <formula2>40</formula2>
    </dataValidation>
    <dataValidation type="decimal" allowBlank="1" showInputMessage="1" showErrorMessage="1" error="0 to $2 allowed" sqref="D28 D27 D26">
      <formula1>0</formula1>
      <formula2>2</formula2>
    </dataValidation>
  </dataValidations>
  <pageMargins left="0.39370078740157477" right="0.39370078740157477" top="0.39370078740157477" bottom="0.39370078740157477" header="0.19685039370078738" footer="0.19685039370078738"/>
  <pageSetup paperSize="9" scale="83" orientation="landscape" blackAndWhite="1" horizontalDpi="4294967293" r:id="rId1"/>
  <headerFooter alignWithMargins="0"/>
  <cellWatches>
    <cellWatch r="D5"/>
  </cellWatches>
  <drawing r:id="rId2"/>
  <legacyDrawing r:id="rId3"/>
  <controls>
    <mc:AlternateContent xmlns:mc="http://schemas.openxmlformats.org/markup-compatibility/2006">
      <mc:Choice Requires="x14">
        <control shapeId="26625" r:id="rId4" name="CommandButton4">
          <controlPr defaultSize="0" autoLine="0" r:id="rId5">
            <anchor moveWithCells="1">
              <from>
                <xdr:col>6</xdr:col>
                <xdr:colOff>47625</xdr:colOff>
                <xdr:row>22</xdr:row>
                <xdr:rowOff>47625</xdr:rowOff>
              </from>
              <to>
                <xdr:col>6</xdr:col>
                <xdr:colOff>1857375</xdr:colOff>
                <xdr:row>26</xdr:row>
                <xdr:rowOff>104775</xdr:rowOff>
              </to>
            </anchor>
          </controlPr>
        </control>
      </mc:Choice>
      <mc:Fallback>
        <control shapeId="26625" r:id="rId4" name="CommandButton4"/>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BJ155"/>
  <sheetViews>
    <sheetView zoomScale="73" zoomScaleNormal="73" workbookViewId="0">
      <selection activeCell="D24" sqref="D24"/>
    </sheetView>
  </sheetViews>
  <sheetFormatPr defaultRowHeight="12.75" x14ac:dyDescent="0.2"/>
  <cols>
    <col min="1" max="1" width="26.85546875" style="32" customWidth="1"/>
    <col min="2" max="2" width="21.7109375" style="32" customWidth="1"/>
    <col min="3" max="3" width="11.85546875" style="32" customWidth="1"/>
    <col min="4" max="4" width="11.7109375" style="32" customWidth="1"/>
    <col min="5" max="5" width="11.85546875" style="32" customWidth="1"/>
    <col min="6" max="6" width="10.85546875" style="32" customWidth="1"/>
    <col min="7" max="9" width="10.7109375" style="32" customWidth="1"/>
    <col min="10" max="10" width="1.85546875" style="32" customWidth="1"/>
    <col min="11" max="11" width="25" style="32" customWidth="1"/>
    <col min="12" max="12" width="12" style="32" customWidth="1"/>
    <col min="13" max="14" width="11.85546875" style="32" customWidth="1"/>
    <col min="15" max="15" width="15.42578125" style="32" customWidth="1"/>
    <col min="16" max="16" width="6.42578125" style="840" customWidth="1"/>
    <col min="17" max="17" width="8.140625" style="840" customWidth="1"/>
    <col min="18" max="18" width="5.7109375" style="840" customWidth="1"/>
    <col min="19" max="19" width="7.85546875" style="32" customWidth="1"/>
    <col min="20" max="20" width="16" style="32" customWidth="1"/>
    <col min="21" max="21" width="14.85546875" style="32" customWidth="1"/>
    <col min="22" max="22" width="12.5703125" style="32" customWidth="1"/>
    <col min="23" max="23" width="12" style="32" customWidth="1"/>
    <col min="24" max="24" width="12.42578125" style="32" customWidth="1"/>
    <col min="25" max="25" width="12" style="32" customWidth="1"/>
    <col min="26" max="26" width="13.28515625" style="32" customWidth="1"/>
    <col min="27" max="27" width="16.85546875" style="32" customWidth="1"/>
    <col min="28" max="28" width="15.42578125" style="32" customWidth="1"/>
    <col min="29" max="29" width="14.42578125" style="32" customWidth="1"/>
    <col min="30" max="30" width="19.7109375" style="32" customWidth="1"/>
    <col min="31" max="31" width="15.42578125" style="32" customWidth="1"/>
    <col min="32" max="34" width="9.140625" style="32"/>
    <col min="35" max="35" width="11.42578125" style="32" customWidth="1"/>
    <col min="36" max="36" width="11" style="32" customWidth="1"/>
    <col min="37" max="37" width="7.5703125" style="32" customWidth="1"/>
    <col min="38" max="38" width="8.140625" style="32" customWidth="1"/>
    <col min="39" max="39" width="9.5703125" style="32" customWidth="1"/>
    <col min="40" max="40" width="7.7109375" style="32" customWidth="1"/>
    <col min="41" max="41" width="8" style="32" customWidth="1"/>
    <col min="42" max="42" width="10.5703125" style="32" customWidth="1"/>
    <col min="43" max="48" width="10.140625" style="32" customWidth="1"/>
    <col min="49" max="49" width="12.42578125" style="32" customWidth="1"/>
    <col min="50" max="50" width="26.85546875" style="32" customWidth="1"/>
    <col min="51" max="51" width="9.140625" style="32"/>
    <col min="52" max="52" width="19.140625" style="32" customWidth="1"/>
    <col min="53" max="53" width="9.140625" style="32"/>
    <col min="54" max="54" width="22.5703125" style="47" customWidth="1"/>
    <col min="55" max="16384" width="9.140625" style="32"/>
  </cols>
  <sheetData>
    <row r="1" spans="1:54" ht="23.25" customHeight="1" thickBot="1" x14ac:dyDescent="0.45">
      <c r="A1" s="919" t="s">
        <v>244</v>
      </c>
      <c r="B1" s="919"/>
      <c r="C1" s="919"/>
      <c r="D1" s="919"/>
      <c r="E1" s="919"/>
      <c r="F1" s="919"/>
      <c r="G1" s="919"/>
      <c r="H1" s="919"/>
      <c r="I1" s="919"/>
      <c r="J1" s="919"/>
      <c r="K1" s="919"/>
      <c r="L1" s="919"/>
      <c r="M1" s="919"/>
      <c r="N1" s="919"/>
      <c r="O1" s="919"/>
      <c r="P1" s="834"/>
      <c r="Q1" s="834"/>
      <c r="R1" s="834"/>
      <c r="S1" s="31"/>
      <c r="T1" s="31"/>
      <c r="U1" s="31"/>
      <c r="V1" s="31"/>
      <c r="W1" s="31"/>
      <c r="X1" s="31"/>
      <c r="Y1" s="31"/>
      <c r="Z1" s="31"/>
      <c r="AA1" s="31"/>
      <c r="AB1" s="31"/>
      <c r="AC1" s="31"/>
      <c r="AD1" s="31"/>
      <c r="AE1" s="31"/>
      <c r="AF1" s="31"/>
      <c r="BB1" s="32"/>
    </row>
    <row r="2" spans="1:54" ht="18" customHeight="1" x14ac:dyDescent="0.25">
      <c r="A2" s="33"/>
      <c r="B2" s="920" t="s">
        <v>470</v>
      </c>
      <c r="C2" s="921"/>
      <c r="D2" s="921"/>
      <c r="E2" s="921"/>
      <c r="F2" s="921"/>
      <c r="G2" s="921"/>
      <c r="H2" s="921"/>
      <c r="I2" s="922"/>
      <c r="J2" s="34"/>
      <c r="K2" s="920" t="s">
        <v>228</v>
      </c>
      <c r="L2" s="921"/>
      <c r="M2" s="921"/>
      <c r="N2" s="921"/>
      <c r="O2" s="922"/>
      <c r="P2" s="835"/>
      <c r="Q2" s="835"/>
      <c r="R2" s="835"/>
      <c r="S2" s="31"/>
      <c r="T2" s="219" t="s">
        <v>287</v>
      </c>
      <c r="U2" s="219" t="str">
        <f>IF(FeedValues!B3="","",FeedValues!B3)</f>
        <v>Wheat</v>
      </c>
      <c r="V2" s="218" t="str">
        <f>IF(FeedValues!C3="","",FeedValues!C3)</f>
        <v>Triticale</v>
      </c>
      <c r="W2" s="218" t="str">
        <f>IF(FeedValues!D3="","",FeedValues!D3)</f>
        <v>Sorghum</v>
      </c>
      <c r="X2" s="218" t="str">
        <f>IF(FeedValues!E3="","",FeedValues!E3)</f>
        <v>Maize</v>
      </c>
      <c r="Y2" s="218" t="str">
        <f>IF(FeedValues!F3="","",FeedValues!F3)</f>
        <v>Barley</v>
      </c>
      <c r="Z2" s="218" t="str">
        <f>IF(FeedValues!G3="","",FeedValues!G3)</f>
        <v>Oats</v>
      </c>
      <c r="AA2" s="218" t="str">
        <f>IF(FeedValues!H3="","",FeedValues!H3)</f>
        <v>Lupins</v>
      </c>
      <c r="AB2" s="218" t="str">
        <f>IF(FeedValues!I3="","",FeedValues!I3)</f>
        <v>Peas</v>
      </c>
      <c r="AC2" s="218" t="str">
        <f>IF(FeedValues!J3="","",FeedValues!J3)</f>
        <v>Faba Beans</v>
      </c>
      <c r="AD2" s="218" t="str">
        <f>IF(FeedValues!K3="","",FeedValues!K3)</f>
        <v>Brewers grains (dry)</v>
      </c>
      <c r="AE2" s="218" t="str">
        <f>IF(FeedValues!L3="","",FeedValues!L3)</f>
        <v>Cottonseed(w)</v>
      </c>
      <c r="AF2" s="31"/>
      <c r="BB2" s="32"/>
    </row>
    <row r="3" spans="1:54" ht="16.149999999999999" customHeight="1" thickBot="1" x14ac:dyDescent="0.3">
      <c r="A3" s="37"/>
      <c r="B3" s="508" t="s">
        <v>220</v>
      </c>
      <c r="C3" s="426" t="s">
        <v>206</v>
      </c>
      <c r="D3" s="426" t="s">
        <v>273</v>
      </c>
      <c r="E3" s="426" t="s">
        <v>230</v>
      </c>
      <c r="F3" s="926" t="s">
        <v>293</v>
      </c>
      <c r="G3" s="927"/>
      <c r="H3" s="927"/>
      <c r="I3" s="928"/>
      <c r="J3" s="34"/>
      <c r="K3" s="923" t="s">
        <v>229</v>
      </c>
      <c r="L3" s="924"/>
      <c r="M3" s="924"/>
      <c r="N3" s="924"/>
      <c r="O3" s="925"/>
      <c r="P3" s="836"/>
      <c r="Q3" s="836"/>
      <c r="R3" s="836"/>
      <c r="S3" s="669"/>
      <c r="T3" s="219" t="s">
        <v>288</v>
      </c>
      <c r="U3" s="219" t="str">
        <f>IF(FeedValues!B9="","",FeedValues!B9)</f>
        <v>Canola</v>
      </c>
      <c r="V3" s="218" t="str">
        <f>IF(FeedValues!C9="","",FeedValues!C9)</f>
        <v>Copra</v>
      </c>
      <c r="W3" s="218" t="str">
        <f>IF(FeedValues!D9="","",FeedValues!D9)</f>
        <v>Corn Gluten</v>
      </c>
      <c r="X3" s="218" t="str">
        <f>IF(FeedValues!E9="","",FeedValues!E9)</f>
        <v>Cottonseed</v>
      </c>
      <c r="Y3" s="218" t="str">
        <f>IF(FeedValues!F9="","",FeedValues!F9)</f>
        <v>Safflower</v>
      </c>
      <c r="Z3" s="218" t="str">
        <f>IF(FeedValues!G9="","",FeedValues!G9)</f>
        <v>Soyabean</v>
      </c>
      <c r="AA3" s="218" t="str">
        <f>IF(FeedValues!H9="","",FeedValues!H9)</f>
        <v>Sunflower</v>
      </c>
      <c r="AB3" s="218" t="str">
        <f>IF(FeedValues!I9="","",FeedValues!I9)</f>
        <v/>
      </c>
      <c r="AC3" s="218" t="str">
        <f>IF(FeedValues!J9="","",FeedValues!J9)</f>
        <v/>
      </c>
      <c r="AD3" s="218" t="str">
        <f>IF(FeedValues!K9="","",FeedValues!K9)</f>
        <v/>
      </c>
      <c r="AE3" s="218" t="str">
        <f>IF(FeedValues!L9="","",FeedValues!L9)</f>
        <v/>
      </c>
      <c r="AF3" s="31"/>
      <c r="BB3" s="32"/>
    </row>
    <row r="4" spans="1:54" ht="16.5" customHeight="1" x14ac:dyDescent="0.25">
      <c r="A4" s="236" t="s">
        <v>460</v>
      </c>
      <c r="B4" s="509" t="s">
        <v>463</v>
      </c>
      <c r="C4" s="510" t="s">
        <v>160</v>
      </c>
      <c r="D4" s="510" t="s">
        <v>160</v>
      </c>
      <c r="E4" s="510" t="s">
        <v>160</v>
      </c>
      <c r="F4" s="511" t="s">
        <v>207</v>
      </c>
      <c r="G4" s="511" t="s">
        <v>18</v>
      </c>
      <c r="H4" s="511" t="s">
        <v>37</v>
      </c>
      <c r="I4" s="512" t="s">
        <v>147</v>
      </c>
      <c r="J4" s="34"/>
      <c r="K4" s="590" t="str">
        <f>B4</f>
        <v>Feed Type</v>
      </c>
      <c r="L4" s="251" t="s">
        <v>206</v>
      </c>
      <c r="M4" s="252" t="s">
        <v>273</v>
      </c>
      <c r="N4" s="251" t="s">
        <v>230</v>
      </c>
      <c r="O4" s="591" t="s">
        <v>92</v>
      </c>
      <c r="P4" s="836" t="s">
        <v>575</v>
      </c>
      <c r="Q4" s="836" t="s">
        <v>563</v>
      </c>
      <c r="R4" s="836" t="s">
        <v>574</v>
      </c>
      <c r="S4" s="824"/>
      <c r="T4" s="219" t="s">
        <v>289</v>
      </c>
      <c r="U4" s="219" t="str">
        <f>IF(FeedValues!B16="","",FeedValues!B16)</f>
        <v>Pasture Hay</v>
      </c>
      <c r="V4" s="218" t="str">
        <f>IF(FeedValues!C16="","",FeedValues!C16)</f>
        <v>Cereal hay 1</v>
      </c>
      <c r="W4" s="218" t="str">
        <f>IF(FeedValues!D16="","",FeedValues!D16)</f>
        <v>Cereal hay 2</v>
      </c>
      <c r="X4" s="218" t="str">
        <f>IF(FeedValues!E16="","",FeedValues!E16)</f>
        <v>Lucerne Hay</v>
      </c>
      <c r="Y4" s="218" t="str">
        <f>IF(FeedValues!F16="","",FeedValues!F16)</f>
        <v>Pasture Hay</v>
      </c>
      <c r="Z4" s="218" t="str">
        <f>IF(FeedValues!G16="","",FeedValues!G16)</f>
        <v/>
      </c>
      <c r="AA4" s="218" t="str">
        <f>IF(FeedValues!H16="","",FeedValues!H16)</f>
        <v>Cereal Silage</v>
      </c>
      <c r="AB4" s="218" t="str">
        <f>IF(FeedValues!I16="","",FeedValues!I16)</f>
        <v>Pasture Silage</v>
      </c>
      <c r="AC4" s="218" t="str">
        <f>IF(FeedValues!J16="","",FeedValues!J16)</f>
        <v>Lucerne Silage</v>
      </c>
      <c r="AD4" s="218" t="str">
        <f>IF(FeedValues!K16="","",FeedValues!K16)</f>
        <v>Maize Silage</v>
      </c>
      <c r="AE4" s="218" t="str">
        <f>IF(FeedValues!L16="","",FeedValues!L16)</f>
        <v>Sorghum Silage</v>
      </c>
      <c r="AF4" s="31"/>
      <c r="BB4" s="32"/>
    </row>
    <row r="5" spans="1:54" ht="16.5" customHeight="1" x14ac:dyDescent="0.25">
      <c r="A5" s="417" t="s">
        <v>461</v>
      </c>
      <c r="B5" s="376"/>
      <c r="C5" s="237"/>
      <c r="D5" s="237"/>
      <c r="E5" s="237"/>
      <c r="F5" s="238" t="str">
        <f>IF($B5="","",HLOOKUP($B5,Calculations!$B$1:$BC$7,2,FALSE))</f>
        <v/>
      </c>
      <c r="G5" s="238" t="str">
        <f>IF($B5="","",HLOOKUP($B5,Calculations!$B$1:$BC$7,3,FALSE))</f>
        <v/>
      </c>
      <c r="H5" s="238" t="str">
        <f>IF($B5="","",HLOOKUP($B5,Calculations!$B$1:$BC$7,4,FALSE))</f>
        <v/>
      </c>
      <c r="I5" s="513" t="str">
        <f>IF($B5="","",HLOOKUP($B5,Calculations!$B$1:$BC$7,5,FALSE))</f>
        <v/>
      </c>
      <c r="J5" s="34"/>
      <c r="K5" s="592" t="str">
        <f>IF(B5="","",B5)</f>
        <v/>
      </c>
      <c r="L5" s="491" t="str">
        <f t="shared" ref="L5:L27" si="0">IF($B$63=0,"",IF($B5="","",C$86*0.01*C5*$N$74))</f>
        <v/>
      </c>
      <c r="M5" s="491" t="str">
        <f t="shared" ref="M5:M27" si="1">IF($D$63=0,"",IF(B5="","",D$86*0.01*D5*$N$74))</f>
        <v/>
      </c>
      <c r="N5" s="491" t="str">
        <f t="shared" ref="N5:N27" si="2">IF(B5="","",IF($E5&lt;0.01,0,(E$86*0.01*E5)*$N$74))</f>
        <v/>
      </c>
      <c r="O5" s="593" t="str">
        <f t="shared" ref="O5:O27" si="3">IF(B5="","",IF(SUM(L5:N5)=0,0,SUM(L5:N5)))</f>
        <v/>
      </c>
      <c r="P5" s="836" t="str">
        <f t="shared" ref="P5:P28" si="4">IF(O5="","",O5*100/$O$28)</f>
        <v/>
      </c>
      <c r="Q5" s="836" t="str">
        <f t="shared" ref="Q5:Q26" si="5">IF(O5="","",IF(O5=0,"",O5*I5*0.01))</f>
        <v/>
      </c>
      <c r="R5" s="836" t="str">
        <f t="shared" ref="R5:R23" si="6">IF(Q5="","",Q5*100/$Q$28)</f>
        <v/>
      </c>
      <c r="S5" s="824"/>
      <c r="T5" s="219" t="s">
        <v>290</v>
      </c>
      <c r="U5" s="219" t="str">
        <f>IF(FeedValues!B22="","",FeedValues!B22)</f>
        <v>Bentonite</v>
      </c>
      <c r="V5" s="218" t="str">
        <f>IF(FeedValues!C22="","",FeedValues!C22)</f>
        <v>Bicarb</v>
      </c>
      <c r="W5" s="218" t="str">
        <f>IF(FeedValues!D22="","",FeedValues!D22)</f>
        <v>Lime</v>
      </c>
      <c r="X5" s="218" t="str">
        <f>IF(FeedValues!E22="","",FeedValues!E22)</f>
        <v>Salt</v>
      </c>
      <c r="Y5" s="218" t="str">
        <f>IF(FeedValues!F22="","",FeedValues!F22)</f>
        <v>Urea</v>
      </c>
      <c r="Z5" s="218" t="str">
        <f>IF(FeedValues!G22="","",FeedValues!G22)</f>
        <v>Premix</v>
      </c>
      <c r="AA5" s="218" t="str">
        <f>IF(FeedValues!H22="","",FeedValues!H22)</f>
        <v>Molasses</v>
      </c>
      <c r="AB5" s="218" t="str">
        <f>IF(FeedValues!I22="","",FeedValues!I22)</f>
        <v>Acid Buff</v>
      </c>
      <c r="AC5" s="218" t="str">
        <f>IF(FeedValues!J22="","",FeedValues!J22)</f>
        <v>Causmag</v>
      </c>
      <c r="AD5" s="218" t="str">
        <f>IF(FeedValues!K22="","",FeedValues!K22)</f>
        <v/>
      </c>
      <c r="AE5" s="218" t="str">
        <f>IF(FeedValues!L22="","",FeedValues!L22)</f>
        <v/>
      </c>
      <c r="AF5" s="31"/>
      <c r="BB5" s="32"/>
    </row>
    <row r="6" spans="1:54" ht="16.5" customHeight="1" x14ac:dyDescent="0.25">
      <c r="A6" s="514" t="s">
        <v>465</v>
      </c>
      <c r="B6" s="376"/>
      <c r="C6" s="237"/>
      <c r="D6" s="237"/>
      <c r="E6" s="237"/>
      <c r="F6" s="238" t="str">
        <f>IF($B6="","",HLOOKUP($B6,Calculations!$B$1:$BC$7,2,FALSE))</f>
        <v/>
      </c>
      <c r="G6" s="238" t="str">
        <f>IF($B6="","",HLOOKUP($B6,Calculations!$B$1:$BC$7,3,FALSE))</f>
        <v/>
      </c>
      <c r="H6" s="238" t="str">
        <f>IF($B6="","",HLOOKUP($B6,Calculations!$B$1:$BC$7,4,FALSE))</f>
        <v/>
      </c>
      <c r="I6" s="513" t="str">
        <f>IF($B6="","",HLOOKUP($B6,Calculations!$B$1:$BC$7,5,FALSE))</f>
        <v/>
      </c>
      <c r="J6" s="34"/>
      <c r="K6" s="592" t="str">
        <f t="shared" ref="K6:K27" si="7">IF(B6="","",B6)</f>
        <v/>
      </c>
      <c r="L6" s="491" t="str">
        <f t="shared" si="0"/>
        <v/>
      </c>
      <c r="M6" s="491" t="str">
        <f t="shared" si="1"/>
        <v/>
      </c>
      <c r="N6" s="491" t="str">
        <f t="shared" si="2"/>
        <v/>
      </c>
      <c r="O6" s="593" t="str">
        <f t="shared" si="3"/>
        <v/>
      </c>
      <c r="P6" s="836" t="str">
        <f t="shared" si="4"/>
        <v/>
      </c>
      <c r="Q6" s="836" t="str">
        <f t="shared" si="5"/>
        <v/>
      </c>
      <c r="R6" s="836" t="str">
        <f t="shared" si="6"/>
        <v/>
      </c>
      <c r="S6" s="824"/>
      <c r="T6" s="219" t="s">
        <v>405</v>
      </c>
      <c r="U6" s="219" t="str">
        <f>IF(FeedValues!B29="","",FeedValues!B29)</f>
        <v>Pellet/Mix</v>
      </c>
      <c r="V6" s="218" t="str">
        <f>IF(FeedValues!C29="","",FeedValues!C29)</f>
        <v>Carrots</v>
      </c>
      <c r="W6" s="218" t="str">
        <f>IF(FeedValues!D29="","",FeedValues!D29)</f>
        <v>Pellets</v>
      </c>
      <c r="X6" s="218" t="str">
        <f>IF(FeedValues!E29="","",FeedValues!E29)</f>
        <v/>
      </c>
      <c r="Y6" s="218" t="str">
        <f>IF(FeedValues!F29="","",FeedValues!F29)</f>
        <v/>
      </c>
      <c r="Z6" s="218" t="str">
        <f>IF(FeedValues!G29="","",FeedValues!G29)</f>
        <v/>
      </c>
      <c r="AA6" s="218" t="str">
        <f>IF(FeedValues!H29="","",FeedValues!H29)</f>
        <v/>
      </c>
      <c r="AB6" s="218" t="str">
        <f>IF(FeedValues!I29="","",FeedValues!I29)</f>
        <v/>
      </c>
      <c r="AC6" s="218" t="str">
        <f>IF(FeedValues!J29="","",FeedValues!J29)</f>
        <v/>
      </c>
      <c r="AD6" s="218" t="str">
        <f>IF(FeedValues!K29="","",FeedValues!K29)</f>
        <v/>
      </c>
      <c r="AE6" s="218" t="str">
        <f>IF(FeedValues!L29="","",FeedValues!L29)</f>
        <v/>
      </c>
      <c r="AF6" s="31"/>
      <c r="BB6" s="32"/>
    </row>
    <row r="7" spans="1:54" ht="16.5" customHeight="1" x14ac:dyDescent="0.25">
      <c r="A7" s="417"/>
      <c r="B7" s="376"/>
      <c r="C7" s="237"/>
      <c r="D7" s="237"/>
      <c r="E7" s="237"/>
      <c r="F7" s="238" t="str">
        <f>IF($B7="","",HLOOKUP($B7,Calculations!$B$1:$BC$7,2,FALSE))</f>
        <v/>
      </c>
      <c r="G7" s="238" t="str">
        <f>IF($B7="","",HLOOKUP($B7,Calculations!$B$1:$BC$7,3,FALSE))</f>
        <v/>
      </c>
      <c r="H7" s="238" t="str">
        <f>IF($B7="","",HLOOKUP($B7,Calculations!$B$1:$BC$7,4,FALSE))</f>
        <v/>
      </c>
      <c r="I7" s="513" t="str">
        <f>IF($B7="","",HLOOKUP($B7,Calculations!$B$1:$BC$7,5,FALSE))</f>
        <v/>
      </c>
      <c r="J7" s="34"/>
      <c r="K7" s="592" t="str">
        <f t="shared" si="7"/>
        <v/>
      </c>
      <c r="L7" s="491" t="str">
        <f t="shared" si="0"/>
        <v/>
      </c>
      <c r="M7" s="491" t="str">
        <f t="shared" si="1"/>
        <v/>
      </c>
      <c r="N7" s="491" t="str">
        <f t="shared" si="2"/>
        <v/>
      </c>
      <c r="O7" s="593" t="str">
        <f t="shared" si="3"/>
        <v/>
      </c>
      <c r="P7" s="836" t="str">
        <f t="shared" si="4"/>
        <v/>
      </c>
      <c r="Q7" s="836" t="str">
        <f t="shared" si="5"/>
        <v/>
      </c>
      <c r="R7" s="836" t="str">
        <f t="shared" si="6"/>
        <v/>
      </c>
      <c r="S7" s="838"/>
      <c r="T7" s="838"/>
      <c r="U7" s="838"/>
      <c r="V7" s="838"/>
      <c r="W7" s="838" t="s">
        <v>271</v>
      </c>
      <c r="X7" s="838"/>
      <c r="Y7" s="838"/>
      <c r="Z7" s="834"/>
      <c r="AA7" s="31"/>
      <c r="AB7" s="31"/>
      <c r="AC7" s="31"/>
      <c r="AD7" s="31"/>
      <c r="AE7" s="31"/>
      <c r="AF7" s="31"/>
      <c r="BB7" s="32"/>
    </row>
    <row r="8" spans="1:54" ht="16.5" customHeight="1" x14ac:dyDescent="0.25">
      <c r="A8" s="417"/>
      <c r="B8" s="376"/>
      <c r="C8" s="237"/>
      <c r="D8" s="237"/>
      <c r="E8" s="237"/>
      <c r="F8" s="238" t="str">
        <f>IF($B8="","",HLOOKUP($B8,Calculations!$B$1:$BC$7,2,FALSE))</f>
        <v/>
      </c>
      <c r="G8" s="238" t="str">
        <f>IF($B8="","",HLOOKUP($B8,Calculations!$B$1:$BC$7,3,FALSE))</f>
        <v/>
      </c>
      <c r="H8" s="238" t="str">
        <f>IF($B8="","",HLOOKUP($B8,Calculations!$B$1:$BC$7,4,FALSE))</f>
        <v/>
      </c>
      <c r="I8" s="513" t="str">
        <f>IF($B8="","",HLOOKUP($B8,Calculations!$B$1:$BC$7,5,FALSE))</f>
        <v/>
      </c>
      <c r="J8" s="34"/>
      <c r="K8" s="592" t="str">
        <f t="shared" si="7"/>
        <v/>
      </c>
      <c r="L8" s="491" t="str">
        <f t="shared" si="0"/>
        <v/>
      </c>
      <c r="M8" s="491" t="str">
        <f t="shared" si="1"/>
        <v/>
      </c>
      <c r="N8" s="491" t="str">
        <f t="shared" si="2"/>
        <v/>
      </c>
      <c r="O8" s="593" t="str">
        <f t="shared" si="3"/>
        <v/>
      </c>
      <c r="P8" s="836" t="str">
        <f t="shared" si="4"/>
        <v/>
      </c>
      <c r="Q8" s="836" t="str">
        <f t="shared" si="5"/>
        <v/>
      </c>
      <c r="R8" s="836" t="str">
        <f t="shared" si="6"/>
        <v/>
      </c>
      <c r="S8" s="838"/>
      <c r="T8" s="838"/>
      <c r="U8" s="838" t="s">
        <v>443</v>
      </c>
      <c r="V8" s="838" t="s">
        <v>159</v>
      </c>
      <c r="W8" s="838" t="s">
        <v>206</v>
      </c>
      <c r="X8" s="838" t="s">
        <v>406</v>
      </c>
      <c r="Y8" s="838" t="s">
        <v>602</v>
      </c>
      <c r="Z8" s="834"/>
      <c r="AA8" s="31"/>
      <c r="AB8" s="31"/>
      <c r="AC8" s="31"/>
      <c r="AD8" s="31"/>
      <c r="AE8" s="31"/>
      <c r="AF8" s="31"/>
      <c r="BB8" s="32"/>
    </row>
    <row r="9" spans="1:54" ht="16.5" customHeight="1" thickBot="1" x14ac:dyDescent="0.3">
      <c r="A9" s="505"/>
      <c r="B9" s="377"/>
      <c r="C9" s="239"/>
      <c r="D9" s="239"/>
      <c r="E9" s="239"/>
      <c r="F9" s="240" t="str">
        <f>IF($B9="","",HLOOKUP($B9,Calculations!$B$1:$BC$7,2,FALSE))</f>
        <v/>
      </c>
      <c r="G9" s="240" t="str">
        <f>IF($B9="","",HLOOKUP($B9,Calculations!$B$1:$BC$7,3,FALSE))</f>
        <v/>
      </c>
      <c r="H9" s="240" t="str">
        <f>IF($B9="","",HLOOKUP($B9,Calculations!$B$1:$BC$7,4,FALSE))</f>
        <v/>
      </c>
      <c r="I9" s="507" t="str">
        <f>IF($B9="","",HLOOKUP($B9,Calculations!$B$1:$BC$7,5,FALSE))</f>
        <v/>
      </c>
      <c r="J9" s="34"/>
      <c r="K9" s="592" t="str">
        <f t="shared" si="7"/>
        <v/>
      </c>
      <c r="L9" s="491" t="str">
        <f t="shared" si="0"/>
        <v/>
      </c>
      <c r="M9" s="491" t="str">
        <f t="shared" si="1"/>
        <v/>
      </c>
      <c r="N9" s="491" t="str">
        <f t="shared" si="2"/>
        <v/>
      </c>
      <c r="O9" s="593" t="str">
        <f t="shared" si="3"/>
        <v/>
      </c>
      <c r="P9" s="836" t="str">
        <f t="shared" si="4"/>
        <v/>
      </c>
      <c r="Q9" s="836" t="str">
        <f t="shared" si="5"/>
        <v/>
      </c>
      <c r="R9" s="836" t="str">
        <f t="shared" si="6"/>
        <v/>
      </c>
      <c r="S9" s="838"/>
      <c r="T9" s="838" t="s">
        <v>461</v>
      </c>
      <c r="U9" s="836">
        <f>SUM(P5:P9)</f>
        <v>0</v>
      </c>
      <c r="V9" s="836">
        <f>SUM(R5:R9)</f>
        <v>0</v>
      </c>
      <c r="W9" s="836">
        <f>SUM(C5:C9)</f>
        <v>0</v>
      </c>
      <c r="X9" s="836">
        <f>SUM(D5:D9)</f>
        <v>0</v>
      </c>
      <c r="Y9" s="836">
        <f>SUM(E5:E9)</f>
        <v>0</v>
      </c>
      <c r="Z9" s="834"/>
      <c r="AA9" s="31"/>
      <c r="AB9" s="31"/>
      <c r="AC9" s="31"/>
      <c r="AD9" s="31"/>
      <c r="AE9" s="31"/>
      <c r="AF9" s="31"/>
      <c r="BB9" s="32"/>
    </row>
    <row r="10" spans="1:54" ht="16.5" customHeight="1" x14ac:dyDescent="0.25">
      <c r="A10" s="412" t="s">
        <v>464</v>
      </c>
      <c r="B10" s="413"/>
      <c r="C10" s="414"/>
      <c r="D10" s="414"/>
      <c r="E10" s="414"/>
      <c r="F10" s="415" t="str">
        <f>IF($B10="","",HLOOKUP($B10,Calculations!$B$1:$BC$7,2,FALSE))</f>
        <v/>
      </c>
      <c r="G10" s="415" t="str">
        <f>IF($B10="","",HLOOKUP($B10,Calculations!$B$1:$BC$7,3,FALSE))</f>
        <v/>
      </c>
      <c r="H10" s="415" t="str">
        <f>IF($B10="","",HLOOKUP($B10,Calculations!$B$1:$BC$7,4,FALSE))</f>
        <v/>
      </c>
      <c r="I10" s="416" t="str">
        <f>IF($B10="","",HLOOKUP($B10,Calculations!$B$1:$BC$7,5,FALSE))</f>
        <v/>
      </c>
      <c r="J10" s="31"/>
      <c r="K10" s="592" t="str">
        <f t="shared" si="7"/>
        <v/>
      </c>
      <c r="L10" s="491" t="str">
        <f t="shared" si="0"/>
        <v/>
      </c>
      <c r="M10" s="491" t="str">
        <f t="shared" si="1"/>
        <v/>
      </c>
      <c r="N10" s="491" t="str">
        <f t="shared" si="2"/>
        <v/>
      </c>
      <c r="O10" s="593" t="str">
        <f t="shared" si="3"/>
        <v/>
      </c>
      <c r="P10" s="836" t="str">
        <f t="shared" si="4"/>
        <v/>
      </c>
      <c r="Q10" s="836" t="str">
        <f t="shared" si="5"/>
        <v/>
      </c>
      <c r="R10" s="836" t="str">
        <f t="shared" si="6"/>
        <v/>
      </c>
      <c r="S10" s="838"/>
      <c r="T10" s="838" t="s">
        <v>576</v>
      </c>
      <c r="U10" s="836">
        <f>SUM(P10:P12)</f>
        <v>0</v>
      </c>
      <c r="V10" s="836">
        <f>SUM(R10:R12)</f>
        <v>0</v>
      </c>
      <c r="W10" s="836">
        <f>SUM(C10:C12)</f>
        <v>0</v>
      </c>
      <c r="X10" s="836">
        <f>SUM(D10:D12)</f>
        <v>0</v>
      </c>
      <c r="Y10" s="836">
        <f>SUM(E10:E12)</f>
        <v>0</v>
      </c>
      <c r="Z10" s="834"/>
      <c r="AA10" s="31"/>
      <c r="AB10" s="31"/>
      <c r="AC10" s="31"/>
      <c r="AD10" s="31"/>
      <c r="AE10" s="31"/>
      <c r="AF10" s="31"/>
      <c r="BB10" s="32"/>
    </row>
    <row r="11" spans="1:54" ht="16.5" customHeight="1" x14ac:dyDescent="0.25">
      <c r="A11" s="503"/>
      <c r="B11" s="378"/>
      <c r="C11" s="242"/>
      <c r="D11" s="242"/>
      <c r="E11" s="242"/>
      <c r="F11" s="238" t="str">
        <f>IF($B11="","",HLOOKUP($B11,Calculations!$B$1:$BC$7,2,FALSE))</f>
        <v/>
      </c>
      <c r="G11" s="176" t="str">
        <f>IF($B11="","",HLOOKUP($B11,Calculations!$B$1:$BC$7,3,FALSE))</f>
        <v/>
      </c>
      <c r="H11" s="176" t="str">
        <f>IF($B11="","",HLOOKUP($B11,Calculations!$B$1:$BC$7,4,FALSE))</f>
        <v/>
      </c>
      <c r="I11" s="504" t="str">
        <f>IF($B11="","",HLOOKUP($B11,Calculations!$B$1:$BC$7,5,FALSE))</f>
        <v/>
      </c>
      <c r="J11" s="31"/>
      <c r="K11" s="592" t="str">
        <f t="shared" si="7"/>
        <v/>
      </c>
      <c r="L11" s="491" t="str">
        <f t="shared" si="0"/>
        <v/>
      </c>
      <c r="M11" s="491" t="str">
        <f t="shared" si="1"/>
        <v/>
      </c>
      <c r="N11" s="491" t="str">
        <f t="shared" si="2"/>
        <v/>
      </c>
      <c r="O11" s="593" t="str">
        <f t="shared" si="3"/>
        <v/>
      </c>
      <c r="P11" s="836" t="str">
        <f t="shared" si="4"/>
        <v/>
      </c>
      <c r="Q11" s="836" t="str">
        <f t="shared" si="5"/>
        <v/>
      </c>
      <c r="R11" s="836" t="str">
        <f t="shared" si="6"/>
        <v/>
      </c>
      <c r="S11" s="838"/>
      <c r="T11" s="838" t="s">
        <v>35</v>
      </c>
      <c r="U11" s="836">
        <f>SUM(P13:P18)</f>
        <v>0</v>
      </c>
      <c r="V11" s="836">
        <f>SUM(R13:R18)</f>
        <v>0</v>
      </c>
      <c r="W11" s="836">
        <f>SUM(C13:C18)</f>
        <v>0</v>
      </c>
      <c r="X11" s="836">
        <f>SUM(D13:D18)</f>
        <v>0</v>
      </c>
      <c r="Y11" s="836">
        <f>SUM(E13:E18)</f>
        <v>0</v>
      </c>
      <c r="Z11" s="834"/>
      <c r="AA11" s="31"/>
      <c r="AB11" s="31"/>
      <c r="AC11" s="31"/>
      <c r="AD11" s="31"/>
      <c r="AE11" s="31"/>
      <c r="AF11" s="31"/>
      <c r="BB11" s="32"/>
    </row>
    <row r="12" spans="1:54" ht="16.5" customHeight="1" thickBot="1" x14ac:dyDescent="0.3">
      <c r="A12" s="505"/>
      <c r="B12" s="506"/>
      <c r="C12" s="243"/>
      <c r="D12" s="243"/>
      <c r="E12" s="243"/>
      <c r="F12" s="240" t="str">
        <f>IF($B12="","",HLOOKUP($B12,Calculations!$B$1:$BC$7,2,FALSE))</f>
        <v/>
      </c>
      <c r="G12" s="240" t="str">
        <f>IF($B12="","",HLOOKUP($B12,Calculations!$B$1:$BC$7,3,FALSE))</f>
        <v/>
      </c>
      <c r="H12" s="240" t="str">
        <f>IF($B12="","",HLOOKUP($B12,Calculations!$B$1:$BC$7,4,FALSE))</f>
        <v/>
      </c>
      <c r="I12" s="507" t="str">
        <f>IF($B12="","",HLOOKUP($B12,Calculations!$B$1:$BC$7,5,FALSE))</f>
        <v/>
      </c>
      <c r="J12" s="31"/>
      <c r="K12" s="592" t="str">
        <f t="shared" si="7"/>
        <v/>
      </c>
      <c r="L12" s="491" t="str">
        <f t="shared" si="0"/>
        <v/>
      </c>
      <c r="M12" s="491" t="str">
        <f t="shared" si="1"/>
        <v/>
      </c>
      <c r="N12" s="491" t="str">
        <f t="shared" si="2"/>
        <v/>
      </c>
      <c r="O12" s="593" t="str">
        <f t="shared" si="3"/>
        <v/>
      </c>
      <c r="P12" s="836" t="str">
        <f t="shared" si="4"/>
        <v/>
      </c>
      <c r="Q12" s="836" t="str">
        <f t="shared" si="5"/>
        <v/>
      </c>
      <c r="R12" s="836" t="str">
        <f t="shared" si="6"/>
        <v/>
      </c>
      <c r="S12" s="838"/>
      <c r="T12" s="838" t="s">
        <v>577</v>
      </c>
      <c r="U12" s="836">
        <f>SUM(P19:P22)</f>
        <v>100</v>
      </c>
      <c r="V12" s="836">
        <f>SUM(R19:R22)</f>
        <v>100</v>
      </c>
      <c r="W12" s="836">
        <f>SUM(C19:C22)</f>
        <v>0</v>
      </c>
      <c r="X12" s="836">
        <f>SUM(D19:D22)</f>
        <v>0</v>
      </c>
      <c r="Y12" s="836">
        <f>SUM(E19:E22)</f>
        <v>100</v>
      </c>
      <c r="Z12" s="834"/>
      <c r="AA12" s="31"/>
      <c r="AB12" s="31"/>
      <c r="AC12" s="31"/>
      <c r="AD12" s="31"/>
      <c r="AE12" s="31"/>
      <c r="AF12" s="31"/>
      <c r="BB12" s="32"/>
    </row>
    <row r="13" spans="1:54" ht="16.5" customHeight="1" x14ac:dyDescent="0.25">
      <c r="A13" s="412" t="s">
        <v>35</v>
      </c>
      <c r="B13" s="413"/>
      <c r="C13" s="414"/>
      <c r="D13" s="414"/>
      <c r="E13" s="414"/>
      <c r="F13" s="415" t="str">
        <f>IF($B13="","",HLOOKUP($B13,Calculations!$B$1:$BC$7,2,FALSE))</f>
        <v/>
      </c>
      <c r="G13" s="415" t="str">
        <f>IF($B13="","",HLOOKUP($B13,Calculations!$B$1:$BC$7,3,FALSE))</f>
        <v/>
      </c>
      <c r="H13" s="415" t="str">
        <f>IF($B13="","",HLOOKUP($B13,Calculations!$B$1:$BC$7,4,FALSE))</f>
        <v/>
      </c>
      <c r="I13" s="416" t="str">
        <f>IF($B13="","",HLOOKUP($B13,Calculations!$B$1:$BC$7,5,FALSE))</f>
        <v/>
      </c>
      <c r="J13" s="31"/>
      <c r="K13" s="592" t="str">
        <f t="shared" si="7"/>
        <v/>
      </c>
      <c r="L13" s="491" t="str">
        <f t="shared" si="0"/>
        <v/>
      </c>
      <c r="M13" s="491" t="str">
        <f t="shared" si="1"/>
        <v/>
      </c>
      <c r="N13" s="491" t="str">
        <f t="shared" si="2"/>
        <v/>
      </c>
      <c r="O13" s="593" t="str">
        <f t="shared" si="3"/>
        <v/>
      </c>
      <c r="P13" s="836" t="str">
        <f t="shared" si="4"/>
        <v/>
      </c>
      <c r="Q13" s="836" t="str">
        <f t="shared" si="5"/>
        <v/>
      </c>
      <c r="R13" s="836" t="str">
        <f t="shared" si="6"/>
        <v/>
      </c>
      <c r="S13" s="838"/>
      <c r="T13" s="838" t="s">
        <v>536</v>
      </c>
      <c r="U13" s="836">
        <f>SUM(P23:P25)</f>
        <v>0</v>
      </c>
      <c r="V13" s="836">
        <f>SUM(R23:R25)</f>
        <v>0</v>
      </c>
      <c r="W13" s="836">
        <f>SUM(C23:C25)</f>
        <v>0</v>
      </c>
      <c r="X13" s="836">
        <f>SUM(D23:D25)</f>
        <v>0</v>
      </c>
      <c r="Y13" s="836">
        <f>SUM(E23:E25)</f>
        <v>0</v>
      </c>
      <c r="Z13" s="834"/>
      <c r="AA13" s="31"/>
      <c r="AB13" s="31"/>
      <c r="AC13" s="31"/>
      <c r="AD13" s="31"/>
      <c r="AE13" s="31"/>
      <c r="AF13" s="31"/>
      <c r="BB13" s="32"/>
    </row>
    <row r="14" spans="1:54" ht="16.5" customHeight="1" x14ac:dyDescent="0.25">
      <c r="A14" s="417"/>
      <c r="B14" s="378"/>
      <c r="C14" s="237"/>
      <c r="D14" s="237"/>
      <c r="E14" s="237"/>
      <c r="F14" s="238" t="str">
        <f>IF($B14="","",HLOOKUP($B14,Calculations!$B$1:$BC$7,2,FALSE))</f>
        <v/>
      </c>
      <c r="G14" s="238" t="str">
        <f>IF($B14="","",HLOOKUP($B14,Calculations!$B$1:$BC$7,3,FALSE))</f>
        <v/>
      </c>
      <c r="H14" s="238" t="str">
        <f>IF($B14="","",HLOOKUP($B14,Calculations!$B$1:$BC$7,4,FALSE))</f>
        <v/>
      </c>
      <c r="I14" s="513" t="str">
        <f>IF($B14="","",HLOOKUP($B14,Calculations!$B$1:$BC$7,5,FALSE))</f>
        <v/>
      </c>
      <c r="J14" s="31"/>
      <c r="K14" s="592" t="str">
        <f t="shared" si="7"/>
        <v/>
      </c>
      <c r="L14" s="491" t="str">
        <f t="shared" si="0"/>
        <v/>
      </c>
      <c r="M14" s="491" t="str">
        <f t="shared" si="1"/>
        <v/>
      </c>
      <c r="N14" s="491" t="str">
        <f t="shared" si="2"/>
        <v/>
      </c>
      <c r="O14" s="593" t="str">
        <f t="shared" si="3"/>
        <v/>
      </c>
      <c r="P14" s="836" t="str">
        <f t="shared" si="4"/>
        <v/>
      </c>
      <c r="Q14" s="836" t="str">
        <f t="shared" si="5"/>
        <v/>
      </c>
      <c r="R14" s="836" t="str">
        <f t="shared" si="6"/>
        <v/>
      </c>
      <c r="S14" s="838"/>
      <c r="T14" s="838" t="s">
        <v>148</v>
      </c>
      <c r="U14" s="836">
        <f>SUM(P26:P27)</f>
        <v>0</v>
      </c>
      <c r="V14" s="836">
        <f>SUM(R26:R27)</f>
        <v>0</v>
      </c>
      <c r="W14" s="836">
        <f>SUM(C26:C27)</f>
        <v>0</v>
      </c>
      <c r="X14" s="836">
        <f>SUM(D26:D27)</f>
        <v>0</v>
      </c>
      <c r="Y14" s="836">
        <f>SUM(E26:E27)</f>
        <v>0</v>
      </c>
      <c r="Z14" s="834"/>
      <c r="AA14" s="31"/>
      <c r="AB14" s="31"/>
      <c r="AC14" s="31"/>
      <c r="AD14" s="31"/>
      <c r="AE14" s="31"/>
      <c r="AF14" s="31"/>
      <c r="BB14" s="32"/>
    </row>
    <row r="15" spans="1:54" ht="16.5" customHeight="1" x14ac:dyDescent="0.25">
      <c r="A15" s="417"/>
      <c r="B15" s="378"/>
      <c r="C15" s="237"/>
      <c r="D15" s="237"/>
      <c r="E15" s="237"/>
      <c r="F15" s="238" t="str">
        <f>IF($B15="","",HLOOKUP($B15,Calculations!$B$1:$BC$7,2,FALSE))</f>
        <v/>
      </c>
      <c r="G15" s="238" t="str">
        <f>IF($B15="","",HLOOKUP($B15,Calculations!$B$1:$BC$7,3,FALSE))</f>
        <v/>
      </c>
      <c r="H15" s="238" t="str">
        <f>IF($B15="","",HLOOKUP($B15,Calculations!$B$1:$BC$7,4,FALSE))</f>
        <v/>
      </c>
      <c r="I15" s="513" t="str">
        <f>IF($B15="","",HLOOKUP($B15,Calculations!$B$1:$BC$7,5,FALSE))</f>
        <v/>
      </c>
      <c r="J15" s="31"/>
      <c r="K15" s="592" t="str">
        <f t="shared" si="7"/>
        <v/>
      </c>
      <c r="L15" s="491" t="str">
        <f t="shared" si="0"/>
        <v/>
      </c>
      <c r="M15" s="491" t="str">
        <f t="shared" si="1"/>
        <v/>
      </c>
      <c r="N15" s="491" t="str">
        <f t="shared" si="2"/>
        <v/>
      </c>
      <c r="O15" s="593" t="str">
        <f t="shared" si="3"/>
        <v/>
      </c>
      <c r="P15" s="836" t="str">
        <f t="shared" si="4"/>
        <v/>
      </c>
      <c r="Q15" s="836" t="str">
        <f t="shared" si="5"/>
        <v/>
      </c>
      <c r="R15" s="836" t="str">
        <f t="shared" si="6"/>
        <v/>
      </c>
      <c r="S15" s="838"/>
      <c r="T15" s="838"/>
      <c r="U15" s="836">
        <f>SUM(U9:U14)</f>
        <v>100</v>
      </c>
      <c r="V15" s="836">
        <f>SUM(V9:V14)</f>
        <v>100</v>
      </c>
      <c r="W15" s="836">
        <f>SUM(W9:W14)</f>
        <v>0</v>
      </c>
      <c r="X15" s="836">
        <f>SUM(X9:X14)</f>
        <v>0</v>
      </c>
      <c r="Y15" s="836">
        <f>SUM(Y9:Y14)</f>
        <v>100</v>
      </c>
      <c r="Z15" s="834"/>
      <c r="AA15" s="31"/>
      <c r="AB15" s="31"/>
      <c r="AC15" s="31"/>
      <c r="AD15" s="31"/>
      <c r="AE15" s="31"/>
      <c r="AF15" s="31"/>
      <c r="BB15" s="32"/>
    </row>
    <row r="16" spans="1:54" ht="16.5" customHeight="1" x14ac:dyDescent="0.25">
      <c r="A16" s="417"/>
      <c r="B16" s="378"/>
      <c r="C16" s="237"/>
      <c r="D16" s="237"/>
      <c r="E16" s="237"/>
      <c r="F16" s="238" t="str">
        <f>IF($B16="","",HLOOKUP($B16,Calculations!$B$1:$BC$7,2,FALSE))</f>
        <v/>
      </c>
      <c r="G16" s="238" t="str">
        <f>IF($B16="","",HLOOKUP($B16,Calculations!$B$1:$BC$7,3,FALSE))</f>
        <v/>
      </c>
      <c r="H16" s="238" t="str">
        <f>IF($B16="","",HLOOKUP($B16,Calculations!$B$1:$BC$7,4,FALSE))</f>
        <v/>
      </c>
      <c r="I16" s="513" t="str">
        <f>IF($B16="","",HLOOKUP($B16,Calculations!$B$1:$BC$7,5,FALSE))</f>
        <v/>
      </c>
      <c r="J16" s="31"/>
      <c r="K16" s="592" t="str">
        <f t="shared" si="7"/>
        <v/>
      </c>
      <c r="L16" s="491" t="str">
        <f t="shared" si="0"/>
        <v/>
      </c>
      <c r="M16" s="491" t="str">
        <f t="shared" si="1"/>
        <v/>
      </c>
      <c r="N16" s="491" t="str">
        <f t="shared" si="2"/>
        <v/>
      </c>
      <c r="O16" s="593" t="str">
        <f t="shared" si="3"/>
        <v/>
      </c>
      <c r="P16" s="836" t="str">
        <f t="shared" si="4"/>
        <v/>
      </c>
      <c r="Q16" s="836" t="str">
        <f t="shared" si="5"/>
        <v/>
      </c>
      <c r="R16" s="836" t="str">
        <f t="shared" si="6"/>
        <v/>
      </c>
      <c r="S16" s="838"/>
      <c r="T16" s="838"/>
      <c r="U16" s="838"/>
      <c r="V16" s="838"/>
      <c r="W16" s="838"/>
      <c r="X16" s="838"/>
      <c r="Y16" s="838"/>
      <c r="Z16" s="834"/>
      <c r="AA16" s="31"/>
      <c r="AB16" s="31"/>
      <c r="AC16" s="31"/>
      <c r="AD16" s="31"/>
      <c r="AE16" s="31"/>
      <c r="AF16" s="31"/>
      <c r="BB16" s="32"/>
    </row>
    <row r="17" spans="1:54" ht="16.5" customHeight="1" x14ac:dyDescent="0.25">
      <c r="A17" s="417"/>
      <c r="B17" s="378"/>
      <c r="C17" s="237"/>
      <c r="D17" s="237"/>
      <c r="E17" s="237"/>
      <c r="F17" s="238" t="str">
        <f>IF($B17="","",HLOOKUP($B17,Calculations!$B$1:$BC$7,2,FALSE))</f>
        <v/>
      </c>
      <c r="G17" s="238" t="str">
        <f>IF($B17="","",HLOOKUP($B17,Calculations!$B$1:$BC$7,3,FALSE))</f>
        <v/>
      </c>
      <c r="H17" s="238" t="str">
        <f>IF($B17="","",HLOOKUP($B17,Calculations!$B$1:$BC$7,4,FALSE))</f>
        <v/>
      </c>
      <c r="I17" s="513" t="str">
        <f>IF($B17="","",HLOOKUP($B17,Calculations!$B$1:$BC$7,5,FALSE))</f>
        <v/>
      </c>
      <c r="J17" s="31"/>
      <c r="K17" s="592" t="str">
        <f t="shared" si="7"/>
        <v/>
      </c>
      <c r="L17" s="491" t="str">
        <f t="shared" si="0"/>
        <v/>
      </c>
      <c r="M17" s="491" t="str">
        <f t="shared" si="1"/>
        <v/>
      </c>
      <c r="N17" s="491" t="str">
        <f t="shared" si="2"/>
        <v/>
      </c>
      <c r="O17" s="593" t="str">
        <f t="shared" si="3"/>
        <v/>
      </c>
      <c r="P17" s="836" t="str">
        <f t="shared" si="4"/>
        <v/>
      </c>
      <c r="Q17" s="836" t="str">
        <f t="shared" si="5"/>
        <v/>
      </c>
      <c r="R17" s="836" t="str">
        <f t="shared" si="6"/>
        <v/>
      </c>
      <c r="S17" s="838"/>
      <c r="T17" s="838"/>
      <c r="U17" s="838"/>
      <c r="V17" s="838"/>
      <c r="W17" s="838" t="s">
        <v>603</v>
      </c>
      <c r="X17" s="838" t="s">
        <v>604</v>
      </c>
      <c r="Y17" s="838" t="s">
        <v>605</v>
      </c>
      <c r="Z17" s="834"/>
      <c r="AA17" s="31"/>
      <c r="AB17" s="31"/>
      <c r="AC17" s="31"/>
      <c r="AD17" s="31"/>
      <c r="AE17" s="31"/>
      <c r="AF17" s="31"/>
      <c r="BB17" s="32"/>
    </row>
    <row r="18" spans="1:54" ht="16.5" customHeight="1" thickBot="1" x14ac:dyDescent="0.3">
      <c r="A18" s="505"/>
      <c r="B18" s="506"/>
      <c r="C18" s="239"/>
      <c r="D18" s="239"/>
      <c r="E18" s="239"/>
      <c r="F18" s="240" t="str">
        <f>IF($B18="","",HLOOKUP($B18,Calculations!$B$1:$BC$7,2,FALSE))</f>
        <v/>
      </c>
      <c r="G18" s="240" t="str">
        <f>IF($B18="","",HLOOKUP($B18,Calculations!$B$1:$BC$7,3,FALSE))</f>
        <v/>
      </c>
      <c r="H18" s="240" t="str">
        <f>IF($B18="","",HLOOKUP($B18,Calculations!$B$1:$BC$7,4,FALSE))</f>
        <v/>
      </c>
      <c r="I18" s="507" t="str">
        <f>IF($B18="","",HLOOKUP($B18,Calculations!$B$1:$BC$7,5,FALSE))</f>
        <v/>
      </c>
      <c r="J18" s="31"/>
      <c r="K18" s="592" t="str">
        <f t="shared" si="7"/>
        <v/>
      </c>
      <c r="L18" s="491" t="str">
        <f t="shared" si="0"/>
        <v/>
      </c>
      <c r="M18" s="491" t="str">
        <f t="shared" si="1"/>
        <v/>
      </c>
      <c r="N18" s="491" t="str">
        <f t="shared" si="2"/>
        <v/>
      </c>
      <c r="O18" s="593" t="str">
        <f t="shared" si="3"/>
        <v/>
      </c>
      <c r="P18" s="836" t="str">
        <f t="shared" si="4"/>
        <v/>
      </c>
      <c r="Q18" s="836" t="str">
        <f t="shared" si="5"/>
        <v/>
      </c>
      <c r="R18" s="836" t="str">
        <f t="shared" si="6"/>
        <v/>
      </c>
      <c r="S18" s="838"/>
      <c r="T18" s="838"/>
      <c r="U18" s="838"/>
      <c r="V18" s="838"/>
      <c r="W18" s="838"/>
      <c r="X18" s="838"/>
      <c r="Y18" s="838"/>
      <c r="Z18" s="834"/>
      <c r="AA18" s="31"/>
      <c r="AB18" s="31"/>
      <c r="AC18" s="31"/>
      <c r="AD18" s="31"/>
      <c r="AE18" s="31"/>
      <c r="AF18" s="31"/>
      <c r="BB18" s="32"/>
    </row>
    <row r="19" spans="1:54" ht="16.5" customHeight="1" x14ac:dyDescent="0.25">
      <c r="A19" s="412" t="s">
        <v>462</v>
      </c>
      <c r="B19" s="413" t="s">
        <v>150</v>
      </c>
      <c r="C19" s="414"/>
      <c r="D19" s="414"/>
      <c r="E19" s="414">
        <v>100</v>
      </c>
      <c r="F19" s="415">
        <f>IF($B19="","",HLOOKUP($B19,Calculations!$B$1:$BD$7,2,FALSE))</f>
        <v>280</v>
      </c>
      <c r="G19" s="415">
        <f>IF($B19="","",HLOOKUP($B19,Calculations!$B$1:$BD$7,3,FALSE))</f>
        <v>13</v>
      </c>
      <c r="H19" s="415">
        <f>IF($B19="","",HLOOKUP($B19,Calculations!$B$1:$BD$7,4,FALSE))</f>
        <v>16.5</v>
      </c>
      <c r="I19" s="416">
        <f>IF($B19="","",HLOOKUP($B19,Calculations!$B$1:$BD$7,5,FALSE))</f>
        <v>90</v>
      </c>
      <c r="J19" s="31"/>
      <c r="K19" s="592" t="str">
        <f t="shared" si="7"/>
        <v>Pellet/Mix</v>
      </c>
      <c r="L19" s="491" t="str">
        <f t="shared" si="0"/>
        <v/>
      </c>
      <c r="M19" s="491" t="str">
        <f t="shared" si="1"/>
        <v/>
      </c>
      <c r="N19" s="491">
        <f t="shared" si="2"/>
        <v>385000.00000000006</v>
      </c>
      <c r="O19" s="593">
        <f t="shared" si="3"/>
        <v>385000.00000000006</v>
      </c>
      <c r="P19" s="836">
        <f t="shared" si="4"/>
        <v>100</v>
      </c>
      <c r="Q19" s="836">
        <f t="shared" si="5"/>
        <v>346500.00000000006</v>
      </c>
      <c r="R19" s="836">
        <f t="shared" si="6"/>
        <v>100</v>
      </c>
      <c r="S19" s="834"/>
      <c r="T19" s="834"/>
      <c r="U19" s="834"/>
      <c r="V19" s="834"/>
      <c r="W19" s="834"/>
      <c r="X19" s="834"/>
      <c r="Y19" s="834"/>
      <c r="Z19" s="834"/>
      <c r="AA19" s="31"/>
      <c r="AB19" s="31"/>
      <c r="AC19" s="31"/>
      <c r="AD19" s="31"/>
      <c r="AE19" s="31"/>
      <c r="AF19" s="31"/>
      <c r="BB19" s="32"/>
    </row>
    <row r="20" spans="1:54" ht="16.5" customHeight="1" x14ac:dyDescent="0.25">
      <c r="A20" s="417"/>
      <c r="B20" s="378"/>
      <c r="C20" s="237"/>
      <c r="D20" s="237"/>
      <c r="E20" s="237"/>
      <c r="F20" s="238" t="str">
        <f>IF($B20="","",HLOOKUP($B20,Calculations!$B$1:$BD$7,2,FALSE))</f>
        <v/>
      </c>
      <c r="G20" s="241" t="str">
        <f>IF($B20="","",HLOOKUP($B20,Calculations!$B$1:$BD$7,3,FALSE))</f>
        <v/>
      </c>
      <c r="H20" s="241" t="str">
        <f>IF($B20="","",HLOOKUP($B20,Calculations!$B$1:$BD$7,4,FALSE))</f>
        <v/>
      </c>
      <c r="I20" s="418" t="str">
        <f>IF($B20="","",HLOOKUP($B20,Calculations!$B$1:$BD$7,5,FALSE))</f>
        <v/>
      </c>
      <c r="J20" s="31"/>
      <c r="K20" s="592" t="str">
        <f t="shared" si="7"/>
        <v/>
      </c>
      <c r="L20" s="491" t="str">
        <f t="shared" si="0"/>
        <v/>
      </c>
      <c r="M20" s="491" t="str">
        <f t="shared" si="1"/>
        <v/>
      </c>
      <c r="N20" s="491" t="str">
        <f t="shared" si="2"/>
        <v/>
      </c>
      <c r="O20" s="593" t="str">
        <f t="shared" si="3"/>
        <v/>
      </c>
      <c r="P20" s="836" t="str">
        <f t="shared" si="4"/>
        <v/>
      </c>
      <c r="Q20" s="836" t="str">
        <f t="shared" si="5"/>
        <v/>
      </c>
      <c r="R20" s="836" t="str">
        <f t="shared" si="6"/>
        <v/>
      </c>
      <c r="S20" s="824"/>
      <c r="T20" s="824"/>
      <c r="U20" s="824"/>
      <c r="V20" s="824"/>
      <c r="W20" s="824"/>
      <c r="X20" s="31"/>
      <c r="Y20" s="31"/>
      <c r="Z20" s="31"/>
      <c r="AA20" s="31"/>
      <c r="AB20" s="31"/>
      <c r="AC20" s="31"/>
      <c r="AD20" s="31"/>
      <c r="AE20" s="31"/>
      <c r="AF20" s="31"/>
      <c r="BB20" s="32"/>
    </row>
    <row r="21" spans="1:54" ht="16.5" customHeight="1" x14ac:dyDescent="0.25">
      <c r="A21" s="417"/>
      <c r="B21" s="378"/>
      <c r="C21" s="237"/>
      <c r="D21" s="237"/>
      <c r="E21" s="237"/>
      <c r="F21" s="238" t="str">
        <f>IF($B21="","",HLOOKUP($B21,Calculations!$B$1:$BD$7,2,FALSE))</f>
        <v/>
      </c>
      <c r="G21" s="241" t="str">
        <f>IF($B21="","",HLOOKUP($B21,Calculations!$B$1:$BD$7,3,FALSE))</f>
        <v/>
      </c>
      <c r="H21" s="241" t="str">
        <f>IF($B21="","",HLOOKUP($B21,Calculations!$B$1:$BD$7,4,FALSE))</f>
        <v/>
      </c>
      <c r="I21" s="418" t="str">
        <f>IF($B21="","",HLOOKUP($B21,Calculations!$B$1:$BD$7,5,FALSE))</f>
        <v/>
      </c>
      <c r="J21" s="31"/>
      <c r="K21" s="592" t="str">
        <f t="shared" si="7"/>
        <v/>
      </c>
      <c r="L21" s="491" t="str">
        <f t="shared" si="0"/>
        <v/>
      </c>
      <c r="M21" s="491" t="str">
        <f t="shared" si="1"/>
        <v/>
      </c>
      <c r="N21" s="491" t="str">
        <f t="shared" si="2"/>
        <v/>
      </c>
      <c r="O21" s="593" t="str">
        <f t="shared" si="3"/>
        <v/>
      </c>
      <c r="P21" s="836" t="str">
        <f t="shared" si="4"/>
        <v/>
      </c>
      <c r="Q21" s="836" t="str">
        <f t="shared" si="5"/>
        <v/>
      </c>
      <c r="R21" s="836" t="str">
        <f t="shared" si="6"/>
        <v/>
      </c>
      <c r="S21" s="824"/>
      <c r="T21" s="824"/>
      <c r="U21" s="824"/>
      <c r="V21" s="824"/>
      <c r="W21" s="824"/>
      <c r="X21" s="31"/>
      <c r="Y21" s="31"/>
      <c r="Z21" s="31"/>
      <c r="AA21" s="31"/>
      <c r="AB21" s="31"/>
      <c r="AC21" s="31"/>
      <c r="AD21" s="31"/>
      <c r="AE21" s="31"/>
      <c r="AF21" s="31"/>
      <c r="BB21" s="32"/>
    </row>
    <row r="22" spans="1:54" ht="16.5" customHeight="1" thickBot="1" x14ac:dyDescent="0.3">
      <c r="A22" s="505"/>
      <c r="B22" s="506"/>
      <c r="C22" s="239"/>
      <c r="D22" s="239"/>
      <c r="E22" s="239"/>
      <c r="F22" s="240" t="str">
        <f>IF($B22="","",HLOOKUP($B22,Calculations!$B$1:$BD$7,2,FALSE))</f>
        <v/>
      </c>
      <c r="G22" s="240" t="str">
        <f>IF($B22="","",HLOOKUP($B22,Calculations!$B$1:$BD$7,3,FALSE))</f>
        <v/>
      </c>
      <c r="H22" s="240" t="str">
        <f>IF($B22="","",HLOOKUP($B22,Calculations!$B$1:$BD$7,4,FALSE))</f>
        <v/>
      </c>
      <c r="I22" s="507" t="str">
        <f>IF($B22="","",HLOOKUP($B22,Calculations!$B$1:$BD$7,5,FALSE))</f>
        <v/>
      </c>
      <c r="J22" s="31"/>
      <c r="K22" s="592" t="str">
        <f t="shared" si="7"/>
        <v/>
      </c>
      <c r="L22" s="491" t="str">
        <f t="shared" si="0"/>
        <v/>
      </c>
      <c r="M22" s="491" t="str">
        <f t="shared" si="1"/>
        <v/>
      </c>
      <c r="N22" s="491" t="str">
        <f t="shared" si="2"/>
        <v/>
      </c>
      <c r="O22" s="593" t="str">
        <f t="shared" si="3"/>
        <v/>
      </c>
      <c r="P22" s="836" t="str">
        <f t="shared" si="4"/>
        <v/>
      </c>
      <c r="Q22" s="836" t="str">
        <f t="shared" si="5"/>
        <v/>
      </c>
      <c r="R22" s="836" t="str">
        <f t="shared" si="6"/>
        <v/>
      </c>
      <c r="S22" s="824"/>
      <c r="T22" s="824"/>
      <c r="U22" s="824"/>
      <c r="V22" s="824"/>
      <c r="W22" s="824"/>
      <c r="X22" s="31"/>
      <c r="Y22" s="31"/>
      <c r="Z22" s="31"/>
      <c r="AA22" s="31"/>
      <c r="AB22" s="31"/>
      <c r="AC22" s="31"/>
      <c r="AD22" s="31"/>
      <c r="AE22" s="31"/>
      <c r="AF22" s="31"/>
      <c r="BB22" s="32"/>
    </row>
    <row r="23" spans="1:54" ht="16.5" customHeight="1" x14ac:dyDescent="0.25">
      <c r="A23" s="412" t="s">
        <v>536</v>
      </c>
      <c r="B23" s="413"/>
      <c r="C23" s="414"/>
      <c r="D23" s="414"/>
      <c r="E23" s="414"/>
      <c r="F23" s="415" t="str">
        <f>IF($B23="","",HLOOKUP($B23,Calculations!$B$1:$BC$7,2,FALSE))</f>
        <v/>
      </c>
      <c r="G23" s="415" t="str">
        <f>IF($B23="","",HLOOKUP($B23,Calculations!$B$1:$BC$7,3,FALSE))</f>
        <v/>
      </c>
      <c r="H23" s="415" t="str">
        <f>IF($B23="","",HLOOKUP($B23,Calculations!$B$1:$BC$7,4,FALSE))</f>
        <v/>
      </c>
      <c r="I23" s="416" t="str">
        <f>IF($B23="","",HLOOKUP($B23,Calculations!$B$1:$BC$7,5,FALSE))</f>
        <v/>
      </c>
      <c r="J23" s="31"/>
      <c r="K23" s="592" t="str">
        <f t="shared" si="7"/>
        <v/>
      </c>
      <c r="L23" s="491" t="str">
        <f t="shared" si="0"/>
        <v/>
      </c>
      <c r="M23" s="491" t="str">
        <f t="shared" si="1"/>
        <v/>
      </c>
      <c r="N23" s="491" t="str">
        <f t="shared" si="2"/>
        <v/>
      </c>
      <c r="O23" s="593" t="str">
        <f t="shared" si="3"/>
        <v/>
      </c>
      <c r="P23" s="836" t="str">
        <f t="shared" si="4"/>
        <v/>
      </c>
      <c r="Q23" s="836" t="str">
        <f t="shared" si="5"/>
        <v/>
      </c>
      <c r="R23" s="836" t="str">
        <f t="shared" si="6"/>
        <v/>
      </c>
      <c r="S23" s="824"/>
      <c r="T23" s="824"/>
      <c r="U23" s="824"/>
      <c r="V23" s="824"/>
      <c r="W23" s="824"/>
      <c r="X23" s="31"/>
      <c r="Y23" s="31"/>
      <c r="Z23" s="31"/>
      <c r="AA23" s="31"/>
      <c r="AB23" s="31"/>
      <c r="AC23" s="31"/>
      <c r="AD23" s="31"/>
      <c r="AE23" s="31"/>
      <c r="AF23" s="31"/>
      <c r="BB23" s="32"/>
    </row>
    <row r="24" spans="1:54" ht="16.5" customHeight="1" x14ac:dyDescent="0.25">
      <c r="A24" s="417"/>
      <c r="B24" s="378"/>
      <c r="C24" s="237"/>
      <c r="D24" s="237"/>
      <c r="E24" s="237"/>
      <c r="F24" s="238" t="str">
        <f>IF($B24="","",HLOOKUP($B24,Calculations!$B$1:$BC$7,2,FALSE))</f>
        <v/>
      </c>
      <c r="G24" s="241" t="str">
        <f>IF($B24="","",HLOOKUP($B24,Calculations!$B$1:$BC$7,3,FALSE))</f>
        <v/>
      </c>
      <c r="H24" s="241" t="str">
        <f>IF($B24="","",HLOOKUP($B24,Calculations!$B$1:$BC$7,4,FALSE))</f>
        <v/>
      </c>
      <c r="I24" s="418" t="str">
        <f>IF($B24="","",HLOOKUP($B24,Calculations!$B$1:$BC$7,5,FALSE))</f>
        <v/>
      </c>
      <c r="J24" s="31"/>
      <c r="K24" s="592" t="str">
        <f t="shared" si="7"/>
        <v/>
      </c>
      <c r="L24" s="491" t="str">
        <f t="shared" si="0"/>
        <v/>
      </c>
      <c r="M24" s="491" t="str">
        <f t="shared" si="1"/>
        <v/>
      </c>
      <c r="N24" s="491" t="str">
        <f t="shared" si="2"/>
        <v/>
      </c>
      <c r="O24" s="593" t="str">
        <f t="shared" si="3"/>
        <v/>
      </c>
      <c r="P24" s="836" t="str">
        <f t="shared" si="4"/>
        <v/>
      </c>
      <c r="Q24" s="836" t="str">
        <f t="shared" si="5"/>
        <v/>
      </c>
      <c r="R24" s="836"/>
      <c r="S24" s="824"/>
      <c r="T24" s="824"/>
      <c r="U24" s="824"/>
      <c r="V24" s="824"/>
      <c r="W24" s="824"/>
      <c r="X24" s="31"/>
      <c r="Y24" s="31"/>
      <c r="Z24" s="31"/>
      <c r="AA24" s="31"/>
      <c r="AB24" s="31"/>
      <c r="AC24" s="31"/>
      <c r="AD24" s="31"/>
      <c r="AE24" s="31"/>
      <c r="AF24" s="31"/>
      <c r="BB24" s="32"/>
    </row>
    <row r="25" spans="1:54" ht="16.5" customHeight="1" thickBot="1" x14ac:dyDescent="0.3">
      <c r="A25" s="505"/>
      <c r="B25" s="506"/>
      <c r="C25" s="239"/>
      <c r="D25" s="239"/>
      <c r="E25" s="239"/>
      <c r="F25" s="240" t="str">
        <f>IF($B25="","",HLOOKUP($B25,Calculations!$B$1:$BC$7,2,FALSE))</f>
        <v/>
      </c>
      <c r="G25" s="420" t="str">
        <f>IF($B25="","",HLOOKUP($B25,Calculations!$B$1:$BC$7,3,FALSE))</f>
        <v/>
      </c>
      <c r="H25" s="420" t="str">
        <f>IF($B25="","",HLOOKUP($B25,Calculations!$B$1:$BC$7,4,FALSE))</f>
        <v/>
      </c>
      <c r="I25" s="421" t="str">
        <f>IF($B25="","",HLOOKUP($B25,Calculations!$B$1:$BC$7,5,FALSE))</f>
        <v/>
      </c>
      <c r="J25" s="31"/>
      <c r="K25" s="592" t="str">
        <f t="shared" si="7"/>
        <v/>
      </c>
      <c r="L25" s="491" t="str">
        <f t="shared" si="0"/>
        <v/>
      </c>
      <c r="M25" s="491" t="str">
        <f t="shared" si="1"/>
        <v/>
      </c>
      <c r="N25" s="491" t="str">
        <f t="shared" si="2"/>
        <v/>
      </c>
      <c r="O25" s="593" t="str">
        <f t="shared" si="3"/>
        <v/>
      </c>
      <c r="P25" s="836" t="str">
        <f t="shared" si="4"/>
        <v/>
      </c>
      <c r="Q25" s="836" t="str">
        <f t="shared" si="5"/>
        <v/>
      </c>
      <c r="R25" s="836" t="str">
        <f>IF(Q25="","",Q25*100/$Q$28)</f>
        <v/>
      </c>
      <c r="S25" s="824"/>
      <c r="T25" s="824"/>
      <c r="U25" s="824"/>
      <c r="V25" s="824"/>
      <c r="W25" s="824"/>
      <c r="X25" s="31"/>
      <c r="Y25" s="31"/>
      <c r="Z25" s="31"/>
      <c r="AA25" s="31"/>
      <c r="AB25" s="31"/>
      <c r="AC25" s="31"/>
      <c r="AD25" s="31"/>
      <c r="AE25" s="31"/>
      <c r="AF25" s="31"/>
      <c r="BB25" s="32"/>
    </row>
    <row r="26" spans="1:54" ht="16.5" customHeight="1" x14ac:dyDescent="0.25">
      <c r="A26" s="585" t="s">
        <v>148</v>
      </c>
      <c r="B26" s="378"/>
      <c r="C26" s="586"/>
      <c r="D26" s="586"/>
      <c r="E26" s="586"/>
      <c r="F26" s="241" t="str">
        <f>IF($B26="","",HLOOKUP($B26,Calculations!$B$1:$BC$7,2,FALSE))</f>
        <v/>
      </c>
      <c r="G26" s="241" t="str">
        <f>IF($B26="","",HLOOKUP($B26,Calculations!$B$1:$BC$7,3,FALSE))</f>
        <v/>
      </c>
      <c r="H26" s="241" t="str">
        <f>IF($B26="","",HLOOKUP($B26,Calculations!$B$1:$BC$7,4,FALSE))</f>
        <v/>
      </c>
      <c r="I26" s="418" t="str">
        <f>IF($B26="","",HLOOKUP($B26,Calculations!$B$1:$BC$7,5,FALSE))</f>
        <v/>
      </c>
      <c r="J26" s="31"/>
      <c r="K26" s="592" t="str">
        <f>IF(B26="","",B26)</f>
        <v/>
      </c>
      <c r="L26" s="491" t="str">
        <f t="shared" si="0"/>
        <v/>
      </c>
      <c r="M26" s="491" t="str">
        <f t="shared" si="1"/>
        <v/>
      </c>
      <c r="N26" s="491" t="str">
        <f t="shared" si="2"/>
        <v/>
      </c>
      <c r="O26" s="593" t="str">
        <f>IF(B26="","",IF(SUM(L26:N26)=0,0,SUM(L26:N26)))</f>
        <v/>
      </c>
      <c r="P26" s="836" t="str">
        <f t="shared" si="4"/>
        <v/>
      </c>
      <c r="Q26" s="836" t="str">
        <f t="shared" si="5"/>
        <v/>
      </c>
      <c r="R26" s="836" t="str">
        <f>IF(Q26="","",Q26*100/$Q$28)</f>
        <v/>
      </c>
      <c r="S26" s="824"/>
      <c r="T26" s="824"/>
      <c r="U26" s="824"/>
      <c r="V26" s="824"/>
      <c r="W26" s="824"/>
      <c r="X26" s="31"/>
      <c r="Y26" s="31"/>
      <c r="Z26" s="31"/>
      <c r="AA26" s="31"/>
      <c r="AB26" s="31"/>
      <c r="AC26" s="31"/>
      <c r="AD26" s="31"/>
      <c r="AE26" s="31"/>
      <c r="AF26" s="31"/>
      <c r="BB26" s="32"/>
    </row>
    <row r="27" spans="1:54" ht="16.5" thickBot="1" x14ac:dyDescent="0.3">
      <c r="A27" s="419"/>
      <c r="B27" s="506"/>
      <c r="C27" s="239"/>
      <c r="D27" s="239"/>
      <c r="E27" s="239"/>
      <c r="F27" s="240" t="str">
        <f>IF($B27="","",HLOOKUP($B27,Calculations!$B$1:$BC$7,2,FALSE))</f>
        <v/>
      </c>
      <c r="G27" s="420" t="str">
        <f>IF($B27="","",HLOOKUP($B27,Calculations!$B$1:$BC$7,3,FALSE))</f>
        <v/>
      </c>
      <c r="H27" s="420" t="str">
        <f>IF($B27="","",HLOOKUP($B27,Calculations!$B$1:$BC$7,4,FALSE))</f>
        <v/>
      </c>
      <c r="I27" s="421" t="str">
        <f>IF($B27="","",HLOOKUP($B27,Calculations!$B$1:$BC$7,5,FALSE))</f>
        <v/>
      </c>
      <c r="J27" s="31"/>
      <c r="K27" s="592" t="str">
        <f t="shared" si="7"/>
        <v/>
      </c>
      <c r="L27" s="491" t="str">
        <f t="shared" si="0"/>
        <v/>
      </c>
      <c r="M27" s="491" t="str">
        <f t="shared" si="1"/>
        <v/>
      </c>
      <c r="N27" s="491" t="str">
        <f t="shared" si="2"/>
        <v/>
      </c>
      <c r="O27" s="594" t="str">
        <f t="shared" si="3"/>
        <v/>
      </c>
      <c r="P27" s="836" t="str">
        <f t="shared" si="4"/>
        <v/>
      </c>
      <c r="Q27" s="836" t="str">
        <f>IF(O27="","",O27*I27*0.01)</f>
        <v/>
      </c>
      <c r="R27" s="836" t="str">
        <f>IF(Q27="","",Q27*100/$Q$28)</f>
        <v/>
      </c>
      <c r="S27" s="824"/>
      <c r="T27" s="824"/>
      <c r="U27" s="824"/>
      <c r="V27" s="824"/>
      <c r="W27" s="824"/>
      <c r="X27" s="31"/>
      <c r="Y27" s="31"/>
      <c r="Z27" s="31"/>
      <c r="AA27" s="31"/>
      <c r="AB27" s="31"/>
      <c r="AC27" s="31"/>
      <c r="AD27" s="31"/>
      <c r="AE27" s="31"/>
      <c r="AF27" s="31"/>
      <c r="BB27" s="32"/>
    </row>
    <row r="28" spans="1:54" ht="19.5" customHeight="1" thickBot="1" x14ac:dyDescent="0.3">
      <c r="A28" s="915" t="str">
        <f>IF(E28=100,"",U99)</f>
        <v/>
      </c>
      <c r="B28" s="916"/>
      <c r="C28" s="244">
        <f>SUM(C5:C27)</f>
        <v>0</v>
      </c>
      <c r="D28" s="244">
        <f>SUM(D5:D27)</f>
        <v>0</v>
      </c>
      <c r="E28" s="244">
        <f>SUM(E5:E27)</f>
        <v>100</v>
      </c>
      <c r="F28" s="931"/>
      <c r="G28" s="932"/>
      <c r="H28" s="932"/>
      <c r="I28" s="932"/>
      <c r="J28" s="31"/>
      <c r="K28" s="595" t="s">
        <v>232</v>
      </c>
      <c r="L28" s="492" t="str">
        <f>IF(B63=0,"",SUM(L5:L27))</f>
        <v/>
      </c>
      <c r="M28" s="492" t="str">
        <f>IF(D63=0,"",SUM(M5:M27))</f>
        <v/>
      </c>
      <c r="N28" s="493">
        <f>SUM(N5:N27)</f>
        <v>385000.00000000006</v>
      </c>
      <c r="O28" s="596">
        <f>IF(SUM(L28:N28)=0,"",SUM(L28:N28))</f>
        <v>385000.00000000006</v>
      </c>
      <c r="P28" s="836">
        <f t="shared" si="4"/>
        <v>100</v>
      </c>
      <c r="Q28" s="837">
        <f>SUM(Q5:Q27)</f>
        <v>346500.00000000006</v>
      </c>
      <c r="R28" s="836">
        <f>IF(Q28="","",Q28*100/$Q$28)</f>
        <v>100</v>
      </c>
      <c r="S28" s="824"/>
      <c r="T28" s="31"/>
      <c r="U28" s="31"/>
      <c r="V28" s="31"/>
      <c r="W28" s="31"/>
      <c r="X28" s="31"/>
      <c r="Y28" s="31"/>
      <c r="Z28" s="31"/>
      <c r="AA28" s="31"/>
      <c r="AB28" s="31"/>
      <c r="AC28" s="31"/>
      <c r="AD28" s="31"/>
      <c r="AE28" s="31"/>
      <c r="AF28" s="31"/>
      <c r="BB28" s="32"/>
    </row>
    <row r="29" spans="1:54" ht="18.75" thickBot="1" x14ac:dyDescent="0.3">
      <c r="A29" s="913" t="s">
        <v>208</v>
      </c>
      <c r="B29" s="914"/>
      <c r="C29" s="245"/>
      <c r="D29" s="245"/>
      <c r="E29" s="246">
        <f>Summary!J8-D29-C29</f>
        <v>42.857142857142854</v>
      </c>
      <c r="F29" s="103"/>
      <c r="G29" s="103"/>
      <c r="H29" s="103"/>
      <c r="I29" s="103"/>
      <c r="J29" s="31"/>
      <c r="K29" s="597" t="s">
        <v>233</v>
      </c>
      <c r="L29" s="494" t="str">
        <f>IF(B63=0,"",L28*0.001*B32)</f>
        <v/>
      </c>
      <c r="M29" s="494" t="str">
        <f>IF(D63=0,"",M28*0.001*C32)</f>
        <v/>
      </c>
      <c r="N29" s="494">
        <f>N28*0.001*D32</f>
        <v>107800.00000000001</v>
      </c>
      <c r="O29" s="598">
        <f>IF(SUM(L29:N29)=0,"",SUM(L29:N29))</f>
        <v>107800.00000000001</v>
      </c>
      <c r="P29" s="838"/>
      <c r="Q29" s="838"/>
      <c r="R29" s="838"/>
      <c r="S29" s="824"/>
      <c r="T29" s="31"/>
      <c r="U29" s="31"/>
      <c r="V29" s="31"/>
      <c r="W29" s="31"/>
      <c r="X29" s="31"/>
      <c r="Y29" s="31"/>
      <c r="Z29" s="31"/>
      <c r="AA29" s="31"/>
      <c r="AB29" s="31"/>
      <c r="AC29" s="31"/>
      <c r="AD29" s="31"/>
      <c r="AE29" s="31"/>
      <c r="AF29" s="31"/>
      <c r="BB29" s="32"/>
    </row>
    <row r="30" spans="1:54" ht="18.75" thickBot="1" x14ac:dyDescent="0.3">
      <c r="A30" s="937"/>
      <c r="B30" s="938"/>
      <c r="C30" s="938"/>
      <c r="D30" s="938"/>
      <c r="E30" s="939"/>
      <c r="F30" s="31"/>
      <c r="G30" s="31"/>
      <c r="H30" s="31"/>
      <c r="I30" s="31"/>
      <c r="J30" s="31"/>
      <c r="K30" s="597" t="s">
        <v>149</v>
      </c>
      <c r="L30" s="495" t="str">
        <f>IF(B63=0,"",L29/$O$37)</f>
        <v/>
      </c>
      <c r="M30" s="495" t="str">
        <f>IF(D63=0,"",M29/$O$37)</f>
        <v/>
      </c>
      <c r="N30" s="495">
        <f>N29/$O$37</f>
        <v>21.560000000000002</v>
      </c>
      <c r="O30" s="599">
        <f>IF(SUM(L30:N30)=0,"",SUM(L30:N30))</f>
        <v>21.560000000000002</v>
      </c>
      <c r="P30" s="834"/>
      <c r="Q30" s="834"/>
      <c r="R30" s="834"/>
      <c r="S30" s="824"/>
      <c r="T30" s="31"/>
      <c r="U30" s="31"/>
      <c r="V30" s="31"/>
      <c r="W30" s="31"/>
      <c r="X30" s="31"/>
      <c r="Y30" s="31"/>
      <c r="Z30" s="31"/>
      <c r="AA30" s="31"/>
      <c r="AB30" s="31"/>
      <c r="AC30" s="31"/>
      <c r="AD30" s="31"/>
      <c r="AE30" s="31"/>
      <c r="AF30" s="31"/>
      <c r="BB30" s="32"/>
    </row>
    <row r="31" spans="1:54" ht="15.75" x14ac:dyDescent="0.25">
      <c r="A31" s="38" t="s">
        <v>217</v>
      </c>
      <c r="B31" s="39" t="s">
        <v>206</v>
      </c>
      <c r="C31" s="251" t="s">
        <v>273</v>
      </c>
      <c r="D31" s="39" t="s">
        <v>230</v>
      </c>
      <c r="E31" s="122" t="s">
        <v>219</v>
      </c>
      <c r="F31" s="31"/>
      <c r="G31" s="31"/>
      <c r="H31" s="31"/>
      <c r="I31" s="31"/>
      <c r="J31" s="31"/>
      <c r="K31" s="592" t="s">
        <v>606</v>
      </c>
      <c r="L31" s="496" t="str">
        <f>IF(B63=0,"",Calculations!BH14)</f>
        <v/>
      </c>
      <c r="M31" s="496" t="str">
        <f>IF(D63=0,"",Calculations!BI14)</f>
        <v/>
      </c>
      <c r="N31" s="496">
        <f>Calculations!BJ14</f>
        <v>13</v>
      </c>
      <c r="O31" s="600">
        <f>Calculations!BN14</f>
        <v>13</v>
      </c>
      <c r="P31" s="834"/>
      <c r="Q31" s="834"/>
      <c r="R31" s="834"/>
      <c r="S31" s="824"/>
      <c r="T31" s="31"/>
      <c r="U31" s="31"/>
      <c r="V31" s="31"/>
      <c r="W31" s="31"/>
      <c r="X31" s="31"/>
      <c r="Y31" s="31"/>
      <c r="Z31" s="31"/>
      <c r="AA31" s="31"/>
      <c r="AB31" s="31"/>
      <c r="AC31" s="31"/>
      <c r="AD31" s="31"/>
      <c r="AE31" s="31"/>
      <c r="AF31" s="31"/>
      <c r="BB31" s="32"/>
    </row>
    <row r="32" spans="1:54" ht="15.75" x14ac:dyDescent="0.25">
      <c r="A32" s="375" t="s">
        <v>472</v>
      </c>
      <c r="B32" s="254" t="str">
        <f>IF(B63=0,"",Calculations!BH11)</f>
        <v/>
      </c>
      <c r="C32" s="254" t="str">
        <f>IF($D63=0,"",Calculations!BI11)</f>
        <v/>
      </c>
      <c r="D32" s="254">
        <f>Calculations!BJ11</f>
        <v>280</v>
      </c>
      <c r="E32" s="254">
        <f>Calculations!BN11</f>
        <v>280</v>
      </c>
      <c r="F32" s="31"/>
      <c r="G32" s="31"/>
      <c r="H32" s="31"/>
      <c r="I32" s="31"/>
      <c r="J32" s="40"/>
      <c r="K32" s="601" t="s">
        <v>478</v>
      </c>
      <c r="L32" s="497" t="str">
        <f>IF(B63=0,"",11.5)</f>
        <v/>
      </c>
      <c r="M32" s="497" t="str">
        <f>IF(D63=0,"",12)</f>
        <v/>
      </c>
      <c r="N32" s="497">
        <v>12</v>
      </c>
      <c r="O32" s="602">
        <v>12</v>
      </c>
      <c r="P32" s="834"/>
      <c r="Q32" s="834"/>
      <c r="R32" s="834"/>
      <c r="S32" s="824"/>
      <c r="T32" s="31"/>
      <c r="U32" s="31"/>
      <c r="V32" s="31"/>
      <c r="W32" s="31"/>
      <c r="X32" s="31"/>
      <c r="Y32" s="31"/>
      <c r="Z32" s="31"/>
      <c r="AA32" s="31"/>
      <c r="AB32" s="31"/>
      <c r="AC32" s="31"/>
      <c r="AD32" s="31"/>
      <c r="AE32" s="31"/>
      <c r="AF32" s="31"/>
      <c r="BB32" s="32"/>
    </row>
    <row r="33" spans="1:54" ht="15.75" x14ac:dyDescent="0.25">
      <c r="A33" s="375" t="s">
        <v>471</v>
      </c>
      <c r="B33" s="254" t="str">
        <f>IF($B$32="","",Calculations!BH12)</f>
        <v/>
      </c>
      <c r="C33" s="254" t="str">
        <f>IF($C32="","",Calculations!BI12)</f>
        <v/>
      </c>
      <c r="D33" s="254">
        <f>Calculations!BJ12</f>
        <v>311.11111111111109</v>
      </c>
      <c r="E33" s="254">
        <f>Calculations!BN12</f>
        <v>311.11111111111109</v>
      </c>
      <c r="F33" s="825"/>
      <c r="G33" s="821" t="s">
        <v>453</v>
      </c>
      <c r="H33" s="822"/>
      <c r="I33" s="823"/>
      <c r="J33" s="40"/>
      <c r="K33" s="592" t="s">
        <v>218</v>
      </c>
      <c r="L33" s="496" t="str">
        <f>IF($B63=0,"",Calculations!BH15)</f>
        <v/>
      </c>
      <c r="M33" s="496" t="str">
        <f>IF(D63=0,"",Calculations!BI15)</f>
        <v/>
      </c>
      <c r="N33" s="496">
        <f>Calculations!BJ15</f>
        <v>16.5</v>
      </c>
      <c r="O33" s="600">
        <f>Calculations!BN15</f>
        <v>16.5</v>
      </c>
      <c r="P33" s="834"/>
      <c r="Q33" s="834"/>
      <c r="R33" s="834"/>
      <c r="S33" s="824"/>
      <c r="T33" s="31"/>
      <c r="U33" s="31"/>
      <c r="V33" s="31"/>
      <c r="W33" s="31"/>
      <c r="X33" s="31"/>
      <c r="Y33" s="31"/>
      <c r="Z33" s="31"/>
      <c r="AA33" s="31"/>
      <c r="AB33" s="31"/>
      <c r="AC33" s="31"/>
      <c r="AD33" s="31"/>
      <c r="AE33" s="31"/>
      <c r="AF33" s="31"/>
      <c r="BB33" s="32"/>
    </row>
    <row r="34" spans="1:54" ht="15.75" x14ac:dyDescent="0.25">
      <c r="A34" s="375" t="s">
        <v>473</v>
      </c>
      <c r="B34" s="247" t="str">
        <f>IF($B$32="","",Calculations!BH13)</f>
        <v/>
      </c>
      <c r="C34" s="247" t="str">
        <f>IF($C$32="","",Calculations!BI13)</f>
        <v/>
      </c>
      <c r="D34" s="247">
        <f>Calculations!BJ13</f>
        <v>90</v>
      </c>
      <c r="E34" s="501">
        <f>Calculations!BN13</f>
        <v>90</v>
      </c>
      <c r="F34" s="829"/>
      <c r="G34" s="830"/>
      <c r="H34" s="826">
        <f>Summary!I20</f>
        <v>3</v>
      </c>
      <c r="I34" s="226" t="s">
        <v>446</v>
      </c>
      <c r="J34" s="34"/>
      <c r="K34" s="474" t="s">
        <v>243</v>
      </c>
      <c r="L34" s="498" t="str">
        <f>IF(B63=0,"",C96)</f>
        <v/>
      </c>
      <c r="M34" s="498" t="str">
        <f>IF(D63=0,"",D96)</f>
        <v/>
      </c>
      <c r="N34" s="498">
        <f>E96</f>
        <v>15.973999999999998</v>
      </c>
      <c r="O34" s="603">
        <f>F96</f>
        <v>15.973999999999998</v>
      </c>
      <c r="P34" s="834"/>
      <c r="Q34" s="834"/>
      <c r="R34" s="834"/>
      <c r="S34" s="669"/>
      <c r="T34" s="31"/>
      <c r="U34" s="31"/>
      <c r="V34" s="31"/>
      <c r="W34" s="31"/>
      <c r="X34" s="31"/>
      <c r="Y34" s="31"/>
      <c r="Z34" s="31"/>
      <c r="AA34" s="31"/>
      <c r="AB34" s="31"/>
      <c r="AC34" s="31"/>
      <c r="AD34" s="31"/>
      <c r="AE34" s="31"/>
      <c r="AF34" s="31"/>
      <c r="BB34" s="32"/>
    </row>
    <row r="35" spans="1:54" ht="15.75" x14ac:dyDescent="0.25">
      <c r="A35" s="375" t="s">
        <v>564</v>
      </c>
      <c r="B35" s="255"/>
      <c r="C35" s="255"/>
      <c r="D35" s="255"/>
      <c r="E35" s="606">
        <f>SUM(Q23:Q27)*100/Q28</f>
        <v>0</v>
      </c>
      <c r="F35" s="829"/>
      <c r="G35" s="821" t="s">
        <v>611</v>
      </c>
      <c r="H35" s="827"/>
      <c r="I35" s="828"/>
      <c r="J35" s="34"/>
      <c r="K35" s="592" t="s">
        <v>213</v>
      </c>
      <c r="L35" s="496" t="str">
        <f>IF(B63=0,"",C78)</f>
        <v/>
      </c>
      <c r="M35" s="496" t="str">
        <f>IF(D63=0,"",D78)</f>
        <v/>
      </c>
      <c r="N35" s="496">
        <f>E78</f>
        <v>44</v>
      </c>
      <c r="O35" s="600">
        <f>F78</f>
        <v>44</v>
      </c>
      <c r="P35" s="834"/>
      <c r="Q35" s="834"/>
      <c r="R35" s="834"/>
      <c r="S35" s="669"/>
      <c r="T35" s="31"/>
      <c r="U35" s="31"/>
      <c r="V35" s="31"/>
      <c r="W35" s="31"/>
      <c r="X35" s="31"/>
      <c r="Y35" s="31"/>
      <c r="Z35" s="31"/>
      <c r="AA35" s="31"/>
      <c r="AB35" s="31"/>
      <c r="AC35" s="31"/>
      <c r="AD35" s="31"/>
      <c r="AE35" s="31"/>
      <c r="AF35" s="31"/>
      <c r="BB35" s="32"/>
    </row>
    <row r="36" spans="1:54" ht="18" customHeight="1" x14ac:dyDescent="0.25">
      <c r="A36" s="248" t="s">
        <v>78</v>
      </c>
      <c r="B36" s="249">
        <f>IF(B32="",0,C29)</f>
        <v>0</v>
      </c>
      <c r="C36" s="249">
        <f>IF(B32="",0,IF(C32="",0,D29))</f>
        <v>0</v>
      </c>
      <c r="D36" s="249">
        <f>E29</f>
        <v>42.857142857142854</v>
      </c>
      <c r="E36" s="249">
        <f>SUM(B36:D36)</f>
        <v>42.857142857142854</v>
      </c>
      <c r="F36" s="831" t="s">
        <v>601</v>
      </c>
      <c r="G36" s="832"/>
      <c r="H36" s="832"/>
      <c r="I36" s="833"/>
      <c r="J36" s="34"/>
      <c r="K36" s="477" t="s">
        <v>477</v>
      </c>
      <c r="L36" s="499" t="str">
        <f>IF(B63=0,"",C$74)</f>
        <v/>
      </c>
      <c r="M36" s="499" t="str">
        <f>IF(D63=0,"",D74)</f>
        <v/>
      </c>
      <c r="N36" s="499">
        <f>IF(E75=F75,F74,E74)</f>
        <v>280</v>
      </c>
      <c r="O36" s="604">
        <f>K72</f>
        <v>280</v>
      </c>
      <c r="P36" s="834"/>
      <c r="Q36" s="834"/>
      <c r="R36" s="834"/>
      <c r="S36" s="669"/>
      <c r="T36" s="31"/>
      <c r="U36" s="31"/>
      <c r="V36" s="31"/>
      <c r="W36" s="31"/>
      <c r="X36" s="31"/>
      <c r="Y36" s="31"/>
      <c r="Z36" s="31"/>
      <c r="AA36" s="31"/>
      <c r="AB36" s="31"/>
      <c r="AC36" s="31"/>
      <c r="AD36" s="31"/>
      <c r="AE36" s="31"/>
      <c r="AF36" s="31"/>
      <c r="BB36" s="32"/>
    </row>
    <row r="37" spans="1:54" ht="15.75" x14ac:dyDescent="0.25">
      <c r="A37" s="31"/>
      <c r="B37" s="31"/>
      <c r="C37" s="31"/>
      <c r="D37" s="31"/>
      <c r="E37" s="31"/>
      <c r="F37" s="31"/>
      <c r="G37" s="31"/>
      <c r="H37" s="31"/>
      <c r="I37" s="34"/>
      <c r="J37" s="31"/>
      <c r="K37" s="933" t="s">
        <v>234</v>
      </c>
      <c r="L37" s="934"/>
      <c r="M37" s="500">
        <f>L74</f>
        <v>5</v>
      </c>
      <c r="N37" s="917" t="s">
        <v>231</v>
      </c>
      <c r="O37" s="929">
        <f>E84</f>
        <v>5000</v>
      </c>
      <c r="P37" s="834"/>
      <c r="Q37" s="834"/>
      <c r="R37" s="834"/>
      <c r="S37" s="669"/>
      <c r="T37" s="31"/>
      <c r="U37" s="31"/>
      <c r="V37" s="31"/>
      <c r="W37" s="31"/>
      <c r="X37" s="31"/>
      <c r="Y37" s="31"/>
      <c r="Z37" s="31"/>
      <c r="AA37" s="31"/>
      <c r="AB37" s="31"/>
      <c r="AC37" s="31"/>
      <c r="AD37" s="31"/>
      <c r="AE37" s="31"/>
      <c r="AF37" s="31"/>
      <c r="BB37" s="32"/>
    </row>
    <row r="38" spans="1:54" ht="16.5" thickBot="1" x14ac:dyDescent="0.3">
      <c r="A38" s="41" t="s">
        <v>261</v>
      </c>
      <c r="B38" s="31"/>
      <c r="C38" s="31"/>
      <c r="D38" s="31"/>
      <c r="E38" s="31"/>
      <c r="F38" s="31"/>
      <c r="G38" s="31"/>
      <c r="H38" s="31"/>
      <c r="I38" s="31"/>
      <c r="J38" s="31"/>
      <c r="K38" s="935" t="s">
        <v>609</v>
      </c>
      <c r="L38" s="936"/>
      <c r="M38" s="605">
        <f>L75</f>
        <v>5</v>
      </c>
      <c r="N38" s="918"/>
      <c r="O38" s="930"/>
      <c r="P38" s="834"/>
      <c r="Q38" s="834"/>
      <c r="R38" s="834"/>
      <c r="S38" s="669"/>
      <c r="T38" s="31"/>
      <c r="U38" s="31"/>
      <c r="V38" s="31"/>
      <c r="W38" s="31"/>
      <c r="X38" s="31"/>
      <c r="Y38" s="31"/>
      <c r="Z38" s="31"/>
      <c r="AA38" s="31"/>
      <c r="AB38" s="31"/>
      <c r="AC38" s="31"/>
      <c r="AD38" s="31"/>
      <c r="AE38" s="31"/>
      <c r="AF38" s="31"/>
      <c r="BB38" s="32"/>
    </row>
    <row r="39" spans="1:54" x14ac:dyDescent="0.2">
      <c r="A39" s="31"/>
      <c r="B39" s="31"/>
      <c r="C39" s="31"/>
      <c r="D39" s="31"/>
      <c r="E39" s="31"/>
      <c r="F39" s="31"/>
      <c r="G39" s="31"/>
      <c r="H39" s="31"/>
      <c r="I39" s="103"/>
      <c r="J39" s="31"/>
      <c r="K39" s="31"/>
      <c r="L39" s="31"/>
      <c r="M39" s="31"/>
      <c r="N39" s="31"/>
      <c r="O39" s="31"/>
      <c r="P39" s="834"/>
      <c r="Q39" s="834"/>
      <c r="R39" s="834"/>
      <c r="S39" s="31"/>
      <c r="T39" s="31"/>
      <c r="U39" s="31"/>
      <c r="V39" s="31"/>
      <c r="W39" s="31"/>
      <c r="X39" s="31"/>
      <c r="Y39" s="31"/>
      <c r="Z39" s="31"/>
      <c r="AA39" s="31"/>
      <c r="AB39" s="31"/>
      <c r="AC39" s="31"/>
      <c r="AD39" s="31"/>
      <c r="AE39" s="31"/>
      <c r="AF39" s="31"/>
      <c r="BB39" s="32"/>
    </row>
    <row r="40" spans="1:54" ht="15.75" x14ac:dyDescent="0.25">
      <c r="A40" s="41" t="s">
        <v>246</v>
      </c>
      <c r="B40" s="31"/>
      <c r="C40" s="31"/>
      <c r="D40" s="31"/>
      <c r="E40" s="31"/>
      <c r="F40" s="31"/>
      <c r="G40" s="31"/>
      <c r="H40" s="31"/>
      <c r="I40" s="34"/>
      <c r="J40" s="34"/>
      <c r="K40" s="34"/>
      <c r="L40" s="34"/>
      <c r="M40" s="34"/>
      <c r="N40" s="34"/>
      <c r="O40" s="31"/>
      <c r="P40" s="834"/>
      <c r="Q40" s="834"/>
      <c r="R40" s="834"/>
      <c r="S40" s="31"/>
      <c r="T40" s="31"/>
      <c r="U40" s="31"/>
      <c r="V40" s="31"/>
      <c r="W40" s="31"/>
      <c r="X40" s="31"/>
      <c r="Y40" s="31"/>
      <c r="Z40" s="31"/>
      <c r="AA40" s="31"/>
      <c r="AB40" s="31"/>
      <c r="AC40" s="31"/>
      <c r="AD40" s="31"/>
      <c r="AE40" s="31"/>
      <c r="AF40" s="31"/>
      <c r="BB40" s="32"/>
    </row>
    <row r="41" spans="1:54" ht="15.75" x14ac:dyDescent="0.25">
      <c r="A41" s="41"/>
      <c r="B41" s="31"/>
      <c r="C41" s="31"/>
      <c r="D41" s="31"/>
      <c r="E41" s="31"/>
      <c r="F41" s="31"/>
      <c r="G41" s="31"/>
      <c r="H41" s="31"/>
      <c r="I41" s="34"/>
      <c r="J41" s="34"/>
      <c r="K41" s="34"/>
      <c r="L41" s="34"/>
      <c r="M41" s="34"/>
      <c r="N41" s="34"/>
      <c r="O41" s="31"/>
      <c r="P41" s="834"/>
      <c r="Q41" s="834"/>
      <c r="R41" s="834"/>
      <c r="S41" s="31"/>
      <c r="T41" s="31"/>
      <c r="U41" s="31"/>
      <c r="V41" s="31"/>
      <c r="W41" s="31"/>
      <c r="X41" s="31"/>
      <c r="Y41" s="31"/>
      <c r="Z41" s="31"/>
      <c r="AA41" s="31"/>
      <c r="AB41" s="31"/>
      <c r="AC41" s="31"/>
      <c r="AD41" s="31"/>
      <c r="AE41" s="31"/>
      <c r="AF41" s="31"/>
      <c r="BB41" s="32"/>
    </row>
    <row r="42" spans="1:54" ht="15.75" x14ac:dyDescent="0.25">
      <c r="A42" s="41"/>
      <c r="B42" s="31"/>
      <c r="C42" s="31"/>
      <c r="D42" s="31"/>
      <c r="E42" s="31"/>
      <c r="F42" s="31"/>
      <c r="G42" s="31"/>
      <c r="H42" s="31"/>
      <c r="I42" s="34"/>
      <c r="J42" s="34"/>
      <c r="K42" s="34"/>
      <c r="L42" s="34"/>
      <c r="M42" s="34"/>
      <c r="N42" s="34"/>
      <c r="O42" s="31"/>
      <c r="P42" s="834"/>
      <c r="Q42" s="834"/>
      <c r="R42" s="834"/>
      <c r="S42" s="31"/>
      <c r="T42" s="31"/>
      <c r="U42" s="31"/>
      <c r="V42" s="31"/>
      <c r="W42" s="31"/>
      <c r="X42" s="31"/>
      <c r="Y42" s="31"/>
      <c r="Z42" s="31"/>
      <c r="AA42" s="31"/>
      <c r="AB42" s="31"/>
      <c r="AC42" s="31"/>
      <c r="AD42" s="31"/>
      <c r="AE42" s="31"/>
      <c r="AF42" s="31"/>
      <c r="BB42" s="32"/>
    </row>
    <row r="43" spans="1:54" ht="15.75" x14ac:dyDescent="0.25">
      <c r="A43" s="41"/>
      <c r="B43" s="31"/>
      <c r="C43" s="31"/>
      <c r="D43" s="31"/>
      <c r="E43" s="31"/>
      <c r="F43" s="31"/>
      <c r="G43" s="31"/>
      <c r="H43" s="31"/>
      <c r="I43" s="34"/>
      <c r="J43" s="34"/>
      <c r="K43" s="34"/>
      <c r="L43" s="34"/>
      <c r="M43" s="34"/>
      <c r="N43" s="34"/>
      <c r="O43" s="31"/>
      <c r="P43" s="834"/>
      <c r="Q43" s="834"/>
      <c r="R43" s="834"/>
      <c r="S43" s="31"/>
      <c r="T43" s="31"/>
      <c r="U43" s="31"/>
      <c r="V43" s="31"/>
      <c r="W43" s="31"/>
      <c r="X43" s="31"/>
      <c r="Y43" s="31"/>
      <c r="Z43" s="31"/>
      <c r="AA43" s="31"/>
      <c r="AB43" s="31"/>
      <c r="AC43" s="31"/>
      <c r="AD43" s="31"/>
      <c r="AE43" s="31"/>
      <c r="AF43" s="31"/>
      <c r="BB43" s="32"/>
    </row>
    <row r="44" spans="1:54" ht="15.75" x14ac:dyDescent="0.25">
      <c r="A44" s="41"/>
      <c r="B44" s="31"/>
      <c r="C44" s="31"/>
      <c r="D44" s="31"/>
      <c r="E44" s="31"/>
      <c r="F44" s="31"/>
      <c r="G44" s="31"/>
      <c r="H44" s="31"/>
      <c r="I44" s="34"/>
      <c r="J44" s="34"/>
      <c r="K44" s="34"/>
      <c r="L44" s="34"/>
      <c r="M44" s="34"/>
      <c r="N44" s="34"/>
      <c r="O44" s="31"/>
      <c r="P44" s="834"/>
      <c r="Q44" s="834"/>
      <c r="R44" s="834"/>
      <c r="S44" s="31"/>
      <c r="T44" s="31"/>
      <c r="U44" s="31"/>
      <c r="V44" s="31"/>
      <c r="W44" s="31"/>
      <c r="X44" s="31"/>
      <c r="Y44" s="31"/>
      <c r="Z44" s="31"/>
      <c r="AA44" s="31"/>
      <c r="AB44" s="31"/>
      <c r="AC44" s="31"/>
      <c r="AD44" s="31"/>
      <c r="AE44" s="31"/>
      <c r="AF44" s="31"/>
      <c r="BB44" s="32"/>
    </row>
    <row r="45" spans="1:54" ht="15.75" x14ac:dyDescent="0.25">
      <c r="A45" s="41"/>
      <c r="B45" s="31"/>
      <c r="C45" s="31"/>
      <c r="D45" s="31"/>
      <c r="E45" s="31"/>
      <c r="F45" s="31"/>
      <c r="G45" s="31"/>
      <c r="H45" s="31"/>
      <c r="I45" s="34"/>
      <c r="J45" s="34"/>
      <c r="K45" s="34"/>
      <c r="L45" s="34"/>
      <c r="M45" s="34"/>
      <c r="N45" s="34"/>
      <c r="O45" s="31"/>
      <c r="P45" s="834"/>
      <c r="Q45" s="834"/>
      <c r="R45" s="834"/>
      <c r="S45" s="31"/>
      <c r="T45" s="31"/>
      <c r="U45" s="31"/>
      <c r="V45" s="31"/>
      <c r="W45" s="31"/>
      <c r="X45" s="31"/>
      <c r="Y45" s="31"/>
      <c r="Z45" s="31"/>
      <c r="AA45" s="31"/>
      <c r="AB45" s="31"/>
      <c r="AC45" s="31"/>
      <c r="AD45" s="31"/>
      <c r="AE45" s="31"/>
      <c r="AF45" s="31"/>
      <c r="BB45" s="32"/>
    </row>
    <row r="46" spans="1:54" ht="15.75" x14ac:dyDescent="0.25">
      <c r="A46" s="41"/>
      <c r="B46" s="31"/>
      <c r="C46" s="31"/>
      <c r="D46" s="31"/>
      <c r="E46" s="31"/>
      <c r="F46" s="31"/>
      <c r="G46" s="31"/>
      <c r="H46" s="31"/>
      <c r="I46" s="34"/>
      <c r="J46" s="34"/>
      <c r="K46" s="34"/>
      <c r="L46" s="34"/>
      <c r="M46" s="34"/>
      <c r="N46" s="34"/>
      <c r="O46" s="31"/>
      <c r="P46" s="834"/>
      <c r="Q46" s="834"/>
      <c r="R46" s="834"/>
      <c r="S46" s="31"/>
      <c r="T46" s="31"/>
      <c r="U46" s="31"/>
      <c r="V46" s="31"/>
      <c r="W46" s="31"/>
      <c r="X46" s="31"/>
      <c r="Y46" s="31"/>
      <c r="Z46" s="31"/>
      <c r="AA46" s="31"/>
      <c r="AB46" s="31"/>
      <c r="AC46" s="31"/>
      <c r="AD46" s="31"/>
      <c r="AE46" s="31"/>
      <c r="AF46" s="31"/>
      <c r="BB46" s="32"/>
    </row>
    <row r="47" spans="1:54" ht="15.75" x14ac:dyDescent="0.25">
      <c r="A47" s="41"/>
      <c r="B47" s="31"/>
      <c r="C47" s="31"/>
      <c r="D47" s="31"/>
      <c r="E47" s="31"/>
      <c r="F47" s="31"/>
      <c r="G47" s="31"/>
      <c r="H47" s="31"/>
      <c r="I47" s="34"/>
      <c r="J47" s="34"/>
      <c r="K47" s="34"/>
      <c r="L47" s="34"/>
      <c r="M47" s="34"/>
      <c r="N47" s="34"/>
      <c r="O47" s="31"/>
      <c r="P47" s="834"/>
      <c r="Q47" s="834"/>
      <c r="R47" s="834"/>
      <c r="S47" s="31"/>
      <c r="T47" s="31"/>
      <c r="U47" s="31"/>
      <c r="V47" s="31"/>
      <c r="W47" s="31"/>
      <c r="X47" s="31"/>
      <c r="Y47" s="31"/>
      <c r="Z47" s="31"/>
      <c r="AA47" s="31"/>
      <c r="AB47" s="31"/>
      <c r="AC47" s="31"/>
      <c r="AD47" s="31"/>
      <c r="AE47" s="31"/>
      <c r="AF47" s="31"/>
      <c r="BB47" s="32"/>
    </row>
    <row r="48" spans="1:54" ht="15.75" x14ac:dyDescent="0.25">
      <c r="A48" s="41"/>
      <c r="B48" s="31"/>
      <c r="C48" s="31"/>
      <c r="D48" s="31"/>
      <c r="E48" s="31"/>
      <c r="F48" s="31"/>
      <c r="G48" s="31"/>
      <c r="H48" s="31"/>
      <c r="I48" s="34"/>
      <c r="J48" s="34"/>
      <c r="K48" s="34"/>
      <c r="L48" s="34"/>
      <c r="M48" s="34"/>
      <c r="N48" s="34"/>
      <c r="O48" s="31"/>
      <c r="P48" s="834"/>
      <c r="Q48" s="834"/>
      <c r="R48" s="834"/>
      <c r="S48" s="31"/>
      <c r="T48" s="31"/>
      <c r="U48" s="31"/>
      <c r="V48" s="31"/>
      <c r="W48" s="31"/>
      <c r="X48" s="31"/>
      <c r="Y48" s="31"/>
      <c r="Z48" s="31"/>
      <c r="AA48" s="31"/>
      <c r="AB48" s="31"/>
      <c r="AC48" s="31"/>
      <c r="AD48" s="31"/>
      <c r="AE48" s="31"/>
      <c r="AF48" s="31"/>
      <c r="BB48" s="32"/>
    </row>
    <row r="49" spans="1:54" ht="15.75" x14ac:dyDescent="0.25">
      <c r="A49" s="41"/>
      <c r="B49" s="31"/>
      <c r="C49" s="31"/>
      <c r="D49" s="31"/>
      <c r="E49" s="31"/>
      <c r="F49" s="31"/>
      <c r="G49" s="31"/>
      <c r="H49" s="31"/>
      <c r="I49" s="34"/>
      <c r="J49" s="34"/>
      <c r="K49" s="34"/>
      <c r="L49" s="34"/>
      <c r="M49" s="34"/>
      <c r="N49" s="34"/>
      <c r="O49" s="31"/>
      <c r="P49" s="834"/>
      <c r="Q49" s="834"/>
      <c r="R49" s="834"/>
      <c r="S49" s="31"/>
      <c r="T49" s="31"/>
      <c r="U49" s="31"/>
      <c r="V49" s="31"/>
      <c r="W49" s="31"/>
      <c r="X49" s="31"/>
      <c r="Y49" s="31"/>
      <c r="Z49" s="31"/>
      <c r="AA49" s="31"/>
      <c r="AB49" s="31"/>
      <c r="AC49" s="31"/>
      <c r="AD49" s="31"/>
      <c r="AE49" s="31"/>
      <c r="AF49" s="31"/>
      <c r="BB49" s="32"/>
    </row>
    <row r="50" spans="1:54" ht="15.75" x14ac:dyDescent="0.25">
      <c r="A50" s="41"/>
      <c r="B50" s="31"/>
      <c r="C50" s="31"/>
      <c r="D50" s="31"/>
      <c r="E50" s="31"/>
      <c r="F50" s="31"/>
      <c r="G50" s="31"/>
      <c r="H50" s="31"/>
      <c r="I50" s="34"/>
      <c r="J50" s="34"/>
      <c r="K50" s="34"/>
      <c r="L50" s="34"/>
      <c r="M50" s="34"/>
      <c r="N50" s="34"/>
      <c r="O50" s="31"/>
      <c r="P50" s="834"/>
      <c r="Q50" s="834"/>
      <c r="R50" s="834"/>
      <c r="S50" s="31"/>
      <c r="T50" s="31"/>
      <c r="U50" s="31"/>
      <c r="V50" s="31"/>
      <c r="W50" s="31"/>
      <c r="X50" s="31"/>
      <c r="Y50" s="31"/>
      <c r="Z50" s="31"/>
      <c r="AA50" s="31"/>
      <c r="AB50" s="31"/>
      <c r="AC50" s="31"/>
      <c r="AD50" s="31"/>
      <c r="AE50" s="31"/>
      <c r="AF50" s="31"/>
      <c r="BB50" s="32"/>
    </row>
    <row r="51" spans="1:54" ht="15.75" x14ac:dyDescent="0.25">
      <c r="A51" s="41"/>
      <c r="B51" s="31"/>
      <c r="C51" s="31"/>
      <c r="D51" s="31"/>
      <c r="E51" s="31"/>
      <c r="F51" s="31"/>
      <c r="G51" s="31"/>
      <c r="H51" s="31"/>
      <c r="I51" s="34"/>
      <c r="J51" s="34"/>
      <c r="K51" s="34"/>
      <c r="L51" s="34"/>
      <c r="M51" s="34"/>
      <c r="N51" s="34"/>
      <c r="O51" s="31"/>
      <c r="P51" s="834"/>
      <c r="Q51" s="834"/>
      <c r="R51" s="834"/>
      <c r="S51" s="31"/>
      <c r="T51" s="31"/>
      <c r="U51" s="31"/>
      <c r="V51" s="31"/>
      <c r="W51" s="31"/>
      <c r="X51" s="31"/>
      <c r="Y51" s="31"/>
      <c r="Z51" s="31"/>
      <c r="AA51" s="31"/>
      <c r="AB51" s="31"/>
      <c r="AC51" s="31"/>
      <c r="AD51" s="31"/>
      <c r="AE51" s="31"/>
      <c r="AF51" s="31"/>
      <c r="BB51" s="32"/>
    </row>
    <row r="52" spans="1:54" ht="15.75" x14ac:dyDescent="0.25">
      <c r="A52" s="41"/>
      <c r="B52" s="31"/>
      <c r="C52" s="31"/>
      <c r="D52" s="31"/>
      <c r="E52" s="31"/>
      <c r="F52" s="31"/>
      <c r="G52" s="31"/>
      <c r="H52" s="31"/>
      <c r="I52" s="34"/>
      <c r="J52" s="34"/>
      <c r="K52" s="34"/>
      <c r="L52" s="34"/>
      <c r="M52" s="34"/>
      <c r="N52" s="34"/>
      <c r="O52" s="31"/>
      <c r="P52" s="834"/>
      <c r="Q52" s="834"/>
      <c r="R52" s="834"/>
      <c r="S52" s="31"/>
      <c r="T52" s="31"/>
      <c r="U52" s="31"/>
      <c r="V52" s="31"/>
      <c r="W52" s="31"/>
      <c r="X52" s="31"/>
      <c r="Y52" s="31"/>
      <c r="Z52" s="31"/>
      <c r="AA52" s="31"/>
      <c r="AB52" s="31"/>
      <c r="AC52" s="31"/>
      <c r="AD52" s="31"/>
      <c r="AE52" s="31"/>
      <c r="AF52" s="31"/>
      <c r="BB52" s="32"/>
    </row>
    <row r="53" spans="1:54" ht="15.75" x14ac:dyDescent="0.25">
      <c r="A53" s="41"/>
      <c r="B53" s="31"/>
      <c r="C53" s="31"/>
      <c r="D53" s="31"/>
      <c r="E53" s="31"/>
      <c r="F53" s="31"/>
      <c r="G53" s="31"/>
      <c r="H53" s="31"/>
      <c r="I53" s="34"/>
      <c r="J53" s="34"/>
      <c r="K53" s="34"/>
      <c r="L53" s="34"/>
      <c r="M53" s="34"/>
      <c r="N53" s="34"/>
      <c r="O53" s="31"/>
      <c r="P53" s="834"/>
      <c r="Q53" s="834"/>
      <c r="R53" s="834"/>
      <c r="S53" s="31"/>
      <c r="T53" s="31"/>
      <c r="U53" s="31"/>
      <c r="V53" s="31"/>
      <c r="W53" s="31"/>
      <c r="X53" s="31"/>
      <c r="Y53" s="31"/>
      <c r="Z53" s="31"/>
      <c r="AA53" s="31"/>
      <c r="AB53" s="31"/>
      <c r="AC53" s="31"/>
      <c r="AD53" s="31"/>
      <c r="AE53" s="31"/>
      <c r="AF53" s="31"/>
      <c r="BB53" s="32"/>
    </row>
    <row r="54" spans="1:54" ht="15.75" x14ac:dyDescent="0.25">
      <c r="A54" s="41"/>
      <c r="B54" s="31"/>
      <c r="C54" s="31"/>
      <c r="D54" s="31"/>
      <c r="E54" s="31"/>
      <c r="F54" s="31"/>
      <c r="G54" s="31"/>
      <c r="H54" s="31"/>
      <c r="I54" s="34"/>
      <c r="J54" s="34"/>
      <c r="K54" s="34"/>
      <c r="L54" s="34"/>
      <c r="M54" s="34"/>
      <c r="N54" s="34"/>
      <c r="O54" s="31"/>
      <c r="P54" s="834"/>
      <c r="Q54" s="834"/>
      <c r="R54" s="834"/>
      <c r="S54" s="31"/>
      <c r="T54" s="31"/>
      <c r="U54" s="31"/>
      <c r="V54" s="31"/>
      <c r="W54" s="31"/>
      <c r="X54" s="31"/>
      <c r="Y54" s="31"/>
      <c r="Z54" s="31"/>
      <c r="AA54" s="31"/>
      <c r="AB54" s="31"/>
      <c r="AC54" s="31"/>
      <c r="AD54" s="31"/>
      <c r="AE54" s="31"/>
      <c r="AF54" s="31"/>
      <c r="BB54" s="32"/>
    </row>
    <row r="55" spans="1:54" ht="15.75" x14ac:dyDescent="0.25">
      <c r="A55" s="41"/>
      <c r="B55" s="31"/>
      <c r="C55" s="31"/>
      <c r="D55" s="31"/>
      <c r="E55" s="31"/>
      <c r="F55" s="31"/>
      <c r="G55" s="31"/>
      <c r="H55" s="31"/>
      <c r="I55" s="34"/>
      <c r="J55" s="34"/>
      <c r="K55" s="34"/>
      <c r="L55" s="34"/>
      <c r="M55" s="34"/>
      <c r="N55" s="34"/>
      <c r="O55" s="31"/>
      <c r="P55" s="834"/>
      <c r="Q55" s="834"/>
      <c r="R55" s="834"/>
      <c r="S55" s="31"/>
      <c r="T55" s="31"/>
      <c r="U55" s="31"/>
      <c r="V55" s="31"/>
      <c r="W55" s="31"/>
      <c r="X55" s="31"/>
      <c r="Y55" s="31"/>
      <c r="Z55" s="31"/>
      <c r="AA55" s="31"/>
      <c r="AB55" s="31"/>
      <c r="AC55" s="31"/>
      <c r="AD55" s="31"/>
      <c r="AE55" s="31"/>
      <c r="AF55" s="31"/>
      <c r="BB55" s="32"/>
    </row>
    <row r="56" spans="1:54" ht="15.75" x14ac:dyDescent="0.25">
      <c r="A56" s="41"/>
      <c r="B56" s="31"/>
      <c r="C56" s="31"/>
      <c r="D56" s="31"/>
      <c r="E56" s="31"/>
      <c r="F56" s="31"/>
      <c r="G56" s="31"/>
      <c r="H56" s="31"/>
      <c r="I56" s="34"/>
      <c r="J56" s="34"/>
      <c r="K56" s="34"/>
      <c r="L56" s="34"/>
      <c r="M56" s="34"/>
      <c r="N56" s="34"/>
      <c r="O56" s="31"/>
      <c r="P56" s="834"/>
      <c r="Q56" s="834"/>
      <c r="R56" s="834"/>
      <c r="S56" s="31"/>
      <c r="T56" s="31"/>
      <c r="U56" s="31"/>
      <c r="V56" s="31"/>
      <c r="W56" s="31"/>
      <c r="X56" s="31"/>
      <c r="Y56" s="31"/>
      <c r="Z56" s="31"/>
      <c r="AA56" s="31"/>
      <c r="AB56" s="31"/>
      <c r="AC56" s="31"/>
      <c r="AD56" s="31"/>
      <c r="AE56" s="31"/>
      <c r="AF56" s="31"/>
      <c r="BB56" s="32"/>
    </row>
    <row r="57" spans="1:54" ht="15.75" x14ac:dyDescent="0.25">
      <c r="A57" s="41"/>
      <c r="B57" s="31"/>
      <c r="C57" s="31"/>
      <c r="D57" s="31"/>
      <c r="E57" s="31"/>
      <c r="F57" s="31"/>
      <c r="G57" s="31"/>
      <c r="H57" s="31"/>
      <c r="I57" s="34"/>
      <c r="J57" s="34"/>
      <c r="K57" s="34"/>
      <c r="L57" s="34"/>
      <c r="M57" s="34"/>
      <c r="N57" s="34"/>
      <c r="O57" s="31"/>
      <c r="P57" s="834"/>
      <c r="Q57" s="834"/>
      <c r="R57" s="834"/>
      <c r="S57" s="31"/>
      <c r="T57" s="31"/>
      <c r="U57" s="31"/>
      <c r="V57" s="31"/>
      <c r="W57" s="31"/>
      <c r="X57" s="31"/>
      <c r="Y57" s="31"/>
      <c r="Z57" s="31"/>
      <c r="AA57" s="31"/>
      <c r="AB57" s="31"/>
      <c r="AC57" s="31"/>
      <c r="AD57" s="31"/>
      <c r="AE57" s="31"/>
      <c r="AF57" s="31"/>
      <c r="BB57" s="32"/>
    </row>
    <row r="58" spans="1:54" ht="15.75" hidden="1" x14ac:dyDescent="0.25">
      <c r="A58" s="41"/>
      <c r="B58" s="31"/>
      <c r="C58" s="31"/>
      <c r="D58" s="31"/>
      <c r="E58" s="31"/>
      <c r="F58" s="31"/>
      <c r="G58" s="31"/>
      <c r="H58" s="31"/>
      <c r="I58" s="34"/>
      <c r="J58" s="34"/>
      <c r="K58" s="34"/>
      <c r="L58" s="34"/>
      <c r="M58" s="34"/>
      <c r="N58" s="34"/>
      <c r="O58" s="31"/>
      <c r="P58" s="834"/>
      <c r="Q58" s="834"/>
      <c r="R58" s="834"/>
      <c r="S58" s="31"/>
      <c r="T58" s="31"/>
      <c r="U58" s="31"/>
      <c r="V58" s="31"/>
      <c r="W58" s="31"/>
      <c r="X58" s="31"/>
      <c r="Y58" s="31"/>
      <c r="Z58" s="31"/>
      <c r="AA58" s="31"/>
      <c r="AB58" s="31"/>
      <c r="AC58" s="31"/>
      <c r="AD58" s="31"/>
      <c r="AE58" s="31"/>
      <c r="AF58" s="31"/>
      <c r="BB58" s="32"/>
    </row>
    <row r="59" spans="1:54" ht="15.75" hidden="1" x14ac:dyDescent="0.25">
      <c r="A59" s="41"/>
      <c r="B59" s="31"/>
      <c r="C59" s="31"/>
      <c r="D59" s="31"/>
      <c r="E59" s="31"/>
      <c r="F59" s="31"/>
      <c r="G59" s="31"/>
      <c r="H59" s="31"/>
      <c r="I59" s="34"/>
      <c r="J59" s="34"/>
      <c r="K59" s="34"/>
      <c r="L59" s="34"/>
      <c r="M59" s="34"/>
      <c r="N59" s="34"/>
      <c r="O59" s="31"/>
      <c r="P59" s="834"/>
      <c r="Q59" s="834"/>
      <c r="R59" s="834"/>
      <c r="S59" s="31"/>
      <c r="T59" s="31"/>
      <c r="U59" s="31"/>
      <c r="V59" s="31"/>
      <c r="W59" s="31"/>
      <c r="X59" s="31"/>
      <c r="Y59" s="31"/>
      <c r="Z59" s="31"/>
      <c r="AA59" s="31"/>
      <c r="AB59" s="31"/>
      <c r="AC59" s="31"/>
      <c r="AD59" s="31"/>
      <c r="AE59" s="31"/>
      <c r="AF59" s="31"/>
      <c r="BB59" s="32"/>
    </row>
    <row r="60" spans="1:54" ht="15.75" hidden="1" x14ac:dyDescent="0.25">
      <c r="A60" s="41"/>
      <c r="B60" s="31"/>
      <c r="C60" s="31"/>
      <c r="D60" s="31"/>
      <c r="E60" s="31"/>
      <c r="F60" s="31"/>
      <c r="G60" s="31"/>
      <c r="H60" s="31"/>
      <c r="I60" s="34"/>
      <c r="J60" s="34"/>
      <c r="K60" s="34"/>
      <c r="L60" s="34"/>
      <c r="M60" s="34"/>
      <c r="N60" s="34"/>
      <c r="O60" s="31"/>
      <c r="P60" s="834"/>
      <c r="Q60" s="834"/>
      <c r="R60" s="834"/>
      <c r="S60" s="31"/>
      <c r="T60" s="31"/>
      <c r="U60" s="31"/>
      <c r="V60" s="31"/>
      <c r="W60" s="31"/>
      <c r="X60" s="31"/>
      <c r="Y60" s="31"/>
      <c r="Z60" s="31"/>
      <c r="AA60" s="31"/>
      <c r="AB60" s="31"/>
      <c r="AC60" s="31"/>
      <c r="AD60" s="31"/>
      <c r="AE60" s="31"/>
      <c r="AF60" s="31"/>
      <c r="BB60" s="32"/>
    </row>
    <row r="61" spans="1:54" ht="15.75" hidden="1" x14ac:dyDescent="0.25">
      <c r="A61" s="41"/>
      <c r="B61" s="31"/>
      <c r="C61" s="31"/>
      <c r="D61" s="31"/>
      <c r="E61" s="31"/>
      <c r="F61" s="31"/>
      <c r="G61" s="31"/>
      <c r="H61" s="31"/>
      <c r="I61" s="34"/>
      <c r="J61" s="34"/>
      <c r="K61" s="34"/>
      <c r="L61" s="34"/>
      <c r="M61" s="34"/>
      <c r="N61" s="34"/>
      <c r="O61" s="31"/>
      <c r="P61" s="834"/>
      <c r="Q61" s="834"/>
      <c r="R61" s="834"/>
      <c r="S61" s="31"/>
      <c r="T61" s="31"/>
      <c r="U61" s="31"/>
      <c r="V61" s="31"/>
      <c r="W61" s="31"/>
      <c r="X61" s="31"/>
      <c r="Y61" s="31"/>
      <c r="Z61" s="31"/>
      <c r="AA61" s="31"/>
      <c r="AB61" s="31"/>
      <c r="AC61" s="31"/>
      <c r="AD61" s="31"/>
      <c r="AE61" s="31"/>
      <c r="AF61" s="31"/>
      <c r="BB61" s="32"/>
    </row>
    <row r="62" spans="1:54" ht="15.75" hidden="1" x14ac:dyDescent="0.25">
      <c r="A62" s="41"/>
      <c r="B62" s="220" t="s">
        <v>416</v>
      </c>
      <c r="C62" s="220" t="s">
        <v>417</v>
      </c>
      <c r="D62" s="220" t="s">
        <v>418</v>
      </c>
      <c r="E62" s="31"/>
      <c r="F62" s="31"/>
      <c r="G62" s="31"/>
      <c r="H62" s="31"/>
      <c r="I62" s="34"/>
      <c r="J62" s="34"/>
      <c r="K62" s="34"/>
      <c r="L62" s="34"/>
      <c r="M62" s="34"/>
      <c r="N62" s="34"/>
      <c r="O62" s="31"/>
      <c r="P62" s="834"/>
      <c r="Q62" s="834"/>
      <c r="R62" s="834"/>
      <c r="S62" s="31"/>
      <c r="T62" s="31"/>
      <c r="U62" s="31"/>
      <c r="V62" s="31"/>
      <c r="W62" s="31"/>
      <c r="X62" s="31"/>
      <c r="Y62" s="31"/>
      <c r="Z62" s="31"/>
      <c r="AA62" s="31"/>
      <c r="AB62" s="31"/>
      <c r="AC62" s="31"/>
      <c r="AD62" s="31"/>
      <c r="AE62" s="31"/>
      <c r="AF62" s="31"/>
      <c r="BB62" s="32"/>
    </row>
    <row r="63" spans="1:54" ht="15.75" hidden="1" x14ac:dyDescent="0.25">
      <c r="A63" s="162"/>
      <c r="B63" s="221">
        <f>C28*C29*0.01</f>
        <v>0</v>
      </c>
      <c r="C63" s="221">
        <f>D28*D29*0.01</f>
        <v>0</v>
      </c>
      <c r="D63" s="222">
        <f>B63*C63*0.01</f>
        <v>0</v>
      </c>
      <c r="E63" s="163"/>
      <c r="F63" s="164"/>
      <c r="G63" s="164"/>
      <c r="H63" s="164"/>
      <c r="I63" s="164"/>
      <c r="J63" s="164"/>
      <c r="K63" s="164"/>
      <c r="L63" s="164"/>
      <c r="M63" s="31"/>
      <c r="N63" s="31"/>
      <c r="O63" s="31"/>
      <c r="P63" s="834"/>
      <c r="Q63" s="834"/>
      <c r="R63" s="834"/>
      <c r="S63" s="31"/>
      <c r="T63" s="31"/>
      <c r="U63" s="31"/>
      <c r="V63" s="31"/>
      <c r="W63" s="31"/>
      <c r="X63" s="31"/>
      <c r="Y63" s="31"/>
      <c r="Z63" s="31"/>
      <c r="AA63" s="31"/>
      <c r="AB63" s="31"/>
      <c r="AC63" s="31"/>
      <c r="AD63" s="31"/>
      <c r="AE63" s="31"/>
      <c r="AF63" s="31"/>
      <c r="BB63" s="32"/>
    </row>
    <row r="64" spans="1:54" hidden="1" x14ac:dyDescent="0.2">
      <c r="A64" s="164"/>
      <c r="B64" s="164"/>
      <c r="C64" s="164"/>
      <c r="D64" s="164"/>
      <c r="E64" s="164"/>
      <c r="F64" s="164"/>
      <c r="G64" s="164"/>
      <c r="H64" s="164"/>
      <c r="I64" s="164"/>
      <c r="J64" s="164"/>
      <c r="K64" s="164"/>
      <c r="L64" s="164"/>
      <c r="M64" s="31"/>
      <c r="N64" s="31"/>
      <c r="O64" s="31"/>
      <c r="P64" s="834"/>
      <c r="Q64" s="834"/>
      <c r="R64" s="834"/>
      <c r="S64" s="31"/>
      <c r="T64" s="31"/>
      <c r="U64" s="31"/>
      <c r="V64" s="31"/>
      <c r="W64" s="31"/>
      <c r="X64" s="31"/>
      <c r="Y64" s="31"/>
      <c r="Z64" s="31"/>
      <c r="AA64" s="31"/>
      <c r="AB64" s="31"/>
      <c r="AC64" s="31"/>
      <c r="AD64" s="31"/>
      <c r="AE64" s="31"/>
      <c r="AF64" s="31"/>
      <c r="BB64" s="32"/>
    </row>
    <row r="65" spans="1:54" hidden="1" x14ac:dyDescent="0.2">
      <c r="A65" s="164"/>
      <c r="B65" s="164"/>
      <c r="C65" s="164"/>
      <c r="D65" s="164"/>
      <c r="E65" s="164"/>
      <c r="F65" s="164"/>
      <c r="G65" s="164"/>
      <c r="H65" s="164"/>
      <c r="I65" s="164"/>
      <c r="J65" s="164"/>
      <c r="K65" s="164"/>
      <c r="L65" s="164"/>
      <c r="M65" s="31"/>
      <c r="N65" s="31"/>
      <c r="O65" s="31"/>
      <c r="P65" s="834"/>
      <c r="Q65" s="834"/>
      <c r="R65" s="834"/>
      <c r="S65" s="31"/>
      <c r="T65" s="31"/>
      <c r="U65" s="31"/>
      <c r="V65" s="31"/>
      <c r="W65" s="31"/>
      <c r="X65" s="31"/>
      <c r="Y65" s="31"/>
      <c r="Z65" s="31"/>
      <c r="AA65" s="31"/>
      <c r="AB65" s="31"/>
      <c r="AC65" s="31"/>
      <c r="AD65" s="31"/>
      <c r="AE65" s="31"/>
      <c r="AF65" s="31"/>
      <c r="BB65" s="32"/>
    </row>
    <row r="66" spans="1:54" hidden="1" x14ac:dyDescent="0.2">
      <c r="A66" s="164"/>
      <c r="B66" s="164"/>
      <c r="C66" s="164"/>
      <c r="D66" s="164"/>
      <c r="E66" s="164"/>
      <c r="F66" s="164"/>
      <c r="G66" s="164"/>
      <c r="H66" s="164"/>
      <c r="I66" s="164"/>
      <c r="J66" s="164"/>
      <c r="K66" s="164"/>
      <c r="L66" s="164"/>
      <c r="M66" s="31"/>
      <c r="N66" s="31"/>
      <c r="O66" s="31"/>
      <c r="P66" s="834"/>
      <c r="Q66" s="834"/>
      <c r="R66" s="834"/>
      <c r="S66" s="31"/>
      <c r="T66" s="31"/>
      <c r="U66" s="31"/>
      <c r="V66" s="31"/>
      <c r="W66" s="31"/>
      <c r="X66" s="31"/>
      <c r="Y66" s="31"/>
      <c r="Z66" s="31"/>
      <c r="AA66" s="31"/>
      <c r="AB66" s="31"/>
      <c r="AC66" s="31"/>
      <c r="AD66" s="31"/>
      <c r="AE66" s="31"/>
      <c r="AF66" s="31"/>
      <c r="BB66" s="32"/>
    </row>
    <row r="67" spans="1:54" hidden="1" x14ac:dyDescent="0.2">
      <c r="A67" s="164"/>
      <c r="B67" s="164"/>
      <c r="C67" s="164"/>
      <c r="D67" s="164"/>
      <c r="E67" s="164"/>
      <c r="F67" s="164"/>
      <c r="G67" s="164"/>
      <c r="H67" s="164"/>
      <c r="I67" s="164"/>
      <c r="J67" s="164"/>
      <c r="K67" s="164"/>
      <c r="L67" s="164"/>
      <c r="M67" s="31"/>
      <c r="N67" s="31"/>
      <c r="O67" s="31"/>
      <c r="P67" s="834"/>
      <c r="Q67" s="834"/>
      <c r="R67" s="834"/>
      <c r="S67" s="31"/>
      <c r="T67" s="31"/>
      <c r="U67" s="31"/>
      <c r="V67" s="31"/>
      <c r="W67" s="31"/>
      <c r="X67" s="31"/>
      <c r="Y67" s="31"/>
      <c r="Z67" s="31"/>
      <c r="AA67" s="31"/>
      <c r="AB67" s="31"/>
      <c r="AC67" s="31"/>
      <c r="AD67" s="31"/>
      <c r="AE67" s="31"/>
      <c r="AF67" s="31"/>
      <c r="BB67" s="32"/>
    </row>
    <row r="68" spans="1:54" ht="13.5" hidden="1" thickBot="1" x14ac:dyDescent="0.25">
      <c r="A68" s="31" t="s">
        <v>263</v>
      </c>
      <c r="B68" s="31"/>
      <c r="C68" s="31"/>
      <c r="D68" s="31"/>
      <c r="E68" s="31"/>
      <c r="F68" s="31"/>
      <c r="G68" s="31"/>
      <c r="H68" s="31"/>
      <c r="I68" s="31"/>
      <c r="J68" s="31"/>
      <c r="K68" s="31"/>
      <c r="L68" s="31"/>
      <c r="M68" s="31"/>
      <c r="N68" s="31"/>
      <c r="O68" s="31"/>
      <c r="P68" s="839"/>
      <c r="Q68" s="839"/>
      <c r="R68" s="839"/>
      <c r="S68" s="42"/>
      <c r="T68" s="42"/>
      <c r="U68" s="42"/>
      <c r="V68" s="42"/>
      <c r="W68" s="42"/>
      <c r="X68" s="42"/>
      <c r="Y68" s="42"/>
      <c r="Z68" s="42"/>
      <c r="AA68" s="42"/>
      <c r="AB68" s="42"/>
      <c r="AC68" s="42"/>
      <c r="AD68" s="42"/>
      <c r="AE68" s="42"/>
      <c r="AF68" s="42"/>
      <c r="BB68" s="32"/>
    </row>
    <row r="69" spans="1:54" ht="15" hidden="1" x14ac:dyDescent="0.25">
      <c r="A69" s="83" t="s">
        <v>263</v>
      </c>
      <c r="B69" s="84"/>
      <c r="C69" s="84"/>
      <c r="D69" s="84"/>
      <c r="E69" s="84"/>
      <c r="F69" s="84"/>
      <c r="G69" s="84"/>
      <c r="H69" s="84"/>
      <c r="I69" s="60"/>
      <c r="J69" s="60"/>
      <c r="K69" s="60"/>
      <c r="L69" s="60"/>
      <c r="M69" s="60"/>
      <c r="N69" s="48"/>
      <c r="O69" s="36"/>
      <c r="P69" s="839"/>
      <c r="Q69" s="839"/>
      <c r="R69" s="839"/>
      <c r="S69" s="42"/>
      <c r="T69" s="42"/>
      <c r="U69" s="42"/>
      <c r="V69" s="42"/>
      <c r="W69" s="42"/>
      <c r="X69" s="42"/>
      <c r="Y69" s="42"/>
      <c r="Z69" s="42"/>
      <c r="AA69" s="42"/>
      <c r="AB69" s="42"/>
      <c r="AC69" s="42"/>
      <c r="AD69" s="42"/>
      <c r="AE69" s="42"/>
      <c r="AF69" s="42"/>
      <c r="BB69" s="32"/>
    </row>
    <row r="70" spans="1:54" hidden="1" x14ac:dyDescent="0.2">
      <c r="A70" s="59"/>
      <c r="B70" s="55"/>
      <c r="C70" s="55"/>
      <c r="D70" s="55"/>
      <c r="E70" s="55"/>
      <c r="F70" s="55"/>
      <c r="G70" s="55"/>
      <c r="H70" s="55"/>
      <c r="I70" s="55"/>
      <c r="J70" s="55"/>
      <c r="K70" s="55"/>
      <c r="L70" s="55"/>
      <c r="M70" s="55"/>
      <c r="N70" s="51"/>
      <c r="O70" s="36"/>
      <c r="P70" s="839"/>
      <c r="Q70" s="839"/>
      <c r="R70" s="839"/>
      <c r="S70" s="42"/>
      <c r="T70" s="42"/>
      <c r="U70" s="42"/>
      <c r="V70" s="42"/>
      <c r="W70" s="42"/>
      <c r="X70" s="42"/>
      <c r="Y70" s="42"/>
      <c r="Z70" s="42"/>
      <c r="AA70" s="42"/>
      <c r="AB70" s="42"/>
      <c r="AC70" s="42"/>
      <c r="AD70" s="42"/>
      <c r="AE70" s="42"/>
      <c r="AF70" s="42"/>
      <c r="BB70" s="32"/>
    </row>
    <row r="71" spans="1:54" ht="18" hidden="1" x14ac:dyDescent="0.25">
      <c r="A71" s="85"/>
      <c r="B71" s="55"/>
      <c r="C71" s="104" t="s">
        <v>206</v>
      </c>
      <c r="D71" s="104" t="s">
        <v>239</v>
      </c>
      <c r="E71" s="104" t="s">
        <v>205</v>
      </c>
      <c r="F71" s="104" t="s">
        <v>219</v>
      </c>
      <c r="G71" s="52"/>
      <c r="H71" s="52"/>
      <c r="I71" s="52"/>
      <c r="J71" s="55"/>
      <c r="K71" s="87">
        <f>F81/F83</f>
        <v>1.54</v>
      </c>
      <c r="L71" s="55" t="s">
        <v>359</v>
      </c>
      <c r="M71" s="55"/>
      <c r="N71" s="51"/>
      <c r="O71" s="36"/>
      <c r="P71" s="839"/>
      <c r="Q71" s="839"/>
      <c r="R71" s="839"/>
      <c r="S71" s="42"/>
      <c r="T71" s="42"/>
      <c r="U71" s="42"/>
      <c r="V71" s="42"/>
      <c r="W71" s="42"/>
      <c r="X71" s="42"/>
      <c r="Y71" s="42"/>
      <c r="Z71" s="42"/>
      <c r="AA71" s="42"/>
      <c r="AB71" s="42"/>
      <c r="AC71" s="42"/>
      <c r="AD71" s="42"/>
      <c r="AE71" s="42"/>
      <c r="AF71" s="42"/>
      <c r="BB71" s="32"/>
    </row>
    <row r="72" spans="1:54" ht="15" hidden="1" x14ac:dyDescent="0.25">
      <c r="A72" s="85" t="s">
        <v>209</v>
      </c>
      <c r="B72" s="55" t="s">
        <v>257</v>
      </c>
      <c r="C72" s="52">
        <v>0.8</v>
      </c>
      <c r="D72" s="87">
        <v>0.95</v>
      </c>
      <c r="E72" s="87">
        <v>1.05</v>
      </c>
      <c r="F72" s="87">
        <v>1</v>
      </c>
      <c r="G72" s="52"/>
      <c r="H72" s="52"/>
      <c r="I72" s="52"/>
      <c r="J72" s="55"/>
      <c r="K72" s="88">
        <f>F75*1000/F83</f>
        <v>280</v>
      </c>
      <c r="L72" s="55" t="s">
        <v>181</v>
      </c>
      <c r="M72" s="55"/>
      <c r="N72" s="51"/>
      <c r="O72" s="36"/>
      <c r="P72" s="839"/>
      <c r="Q72" s="839"/>
      <c r="R72" s="839"/>
      <c r="S72" s="42"/>
      <c r="T72" s="42"/>
      <c r="U72" s="42"/>
      <c r="V72" s="42"/>
      <c r="W72" s="42"/>
      <c r="X72" s="42"/>
      <c r="Y72" s="42"/>
      <c r="Z72" s="42"/>
      <c r="AA72" s="42"/>
      <c r="AB72" s="42"/>
      <c r="AC72" s="42"/>
      <c r="AD72" s="42"/>
      <c r="AE72" s="42"/>
      <c r="AF72" s="42"/>
      <c r="BB72" s="32"/>
    </row>
    <row r="73" spans="1:54" ht="18" hidden="1" x14ac:dyDescent="0.25">
      <c r="A73" s="85" t="s">
        <v>215</v>
      </c>
      <c r="B73" s="55"/>
      <c r="C73" s="88">
        <f>IF(Summary!C15&gt;0.1,Summary!D15,Summary!$C$14)</f>
        <v>280</v>
      </c>
      <c r="D73" s="88">
        <f>C73</f>
        <v>280</v>
      </c>
      <c r="E73" s="88">
        <f>C73</f>
        <v>280</v>
      </c>
      <c r="F73" s="88">
        <f>C73</f>
        <v>280</v>
      </c>
      <c r="G73" s="52"/>
      <c r="H73" s="52"/>
      <c r="I73" s="55"/>
      <c r="J73" s="86"/>
      <c r="K73" s="86"/>
      <c r="L73" s="55" t="s">
        <v>222</v>
      </c>
      <c r="M73" s="55" t="s">
        <v>223</v>
      </c>
      <c r="N73" s="51" t="s">
        <v>224</v>
      </c>
      <c r="O73" s="36"/>
      <c r="P73" s="839"/>
      <c r="Q73" s="839"/>
      <c r="R73" s="839"/>
      <c r="S73" s="42"/>
      <c r="T73" s="42"/>
      <c r="U73" s="42"/>
      <c r="V73" s="42"/>
      <c r="W73" s="42"/>
      <c r="X73" s="42"/>
      <c r="Y73" s="42"/>
      <c r="Z73" s="42"/>
      <c r="AA73" s="42"/>
      <c r="AB73" s="42"/>
      <c r="AC73" s="42"/>
      <c r="AD73" s="42"/>
      <c r="AE73" s="42"/>
      <c r="AF73" s="42"/>
      <c r="BB73" s="32"/>
    </row>
    <row r="74" spans="1:54" ht="15" hidden="1" x14ac:dyDescent="0.25">
      <c r="A74" s="85" t="s">
        <v>242</v>
      </c>
      <c r="B74" s="55"/>
      <c r="C74" s="88">
        <f>C72*C73</f>
        <v>224</v>
      </c>
      <c r="D74" s="88">
        <f>D72*D73</f>
        <v>266</v>
      </c>
      <c r="E74" s="88">
        <f>E72*E73</f>
        <v>294</v>
      </c>
      <c r="F74" s="88">
        <f>F72*F73</f>
        <v>280</v>
      </c>
      <c r="G74" s="52"/>
      <c r="H74" s="52"/>
      <c r="I74" s="55"/>
      <c r="J74" s="55" t="s">
        <v>221</v>
      </c>
      <c r="K74" s="55"/>
      <c r="L74" s="55">
        <f>Inputs!I3+Inputs!I5</f>
        <v>5</v>
      </c>
      <c r="M74" s="57">
        <f>L74/100</f>
        <v>0.05</v>
      </c>
      <c r="N74" s="89">
        <f>1+M74</f>
        <v>1.05</v>
      </c>
      <c r="O74" s="36"/>
      <c r="P74" s="839"/>
      <c r="Q74" s="839"/>
      <c r="R74" s="839"/>
      <c r="S74" s="42"/>
      <c r="T74" s="42"/>
      <c r="U74" s="42"/>
      <c r="V74" s="42"/>
      <c r="W74" s="42"/>
      <c r="X74" s="42"/>
      <c r="Y74" s="42"/>
      <c r="Z74" s="42"/>
      <c r="AA74" s="42"/>
      <c r="AB74" s="42"/>
      <c r="AC74" s="42"/>
      <c r="AD74" s="42"/>
      <c r="AE74" s="42"/>
      <c r="AF74" s="42"/>
      <c r="BB74" s="32"/>
    </row>
    <row r="75" spans="1:54" ht="15" hidden="1" x14ac:dyDescent="0.25">
      <c r="A75" s="85" t="s">
        <v>210</v>
      </c>
      <c r="B75" s="55"/>
      <c r="C75" s="90">
        <f>C83*C72*C73*0.001</f>
        <v>0</v>
      </c>
      <c r="D75" s="52">
        <f>IF(C29&lt;1,0,D83*D72*D73*0.001)</f>
        <v>0</v>
      </c>
      <c r="E75" s="90">
        <f>E77-E76</f>
        <v>12</v>
      </c>
      <c r="F75" s="90">
        <f>SUM(B75:E75)</f>
        <v>12</v>
      </c>
      <c r="G75" s="52"/>
      <c r="H75" s="52"/>
      <c r="I75" s="55"/>
      <c r="J75" s="55" t="s">
        <v>238</v>
      </c>
      <c r="K75" s="55"/>
      <c r="L75" s="55">
        <f>Inputs!I4+Inputs!I6</f>
        <v>5</v>
      </c>
      <c r="M75" s="57">
        <f>L75/100</f>
        <v>0.05</v>
      </c>
      <c r="N75" s="89">
        <f>1+M75</f>
        <v>1.05</v>
      </c>
      <c r="O75" s="36"/>
      <c r="P75" s="839"/>
      <c r="Q75" s="839"/>
      <c r="R75" s="839"/>
      <c r="S75" s="42"/>
      <c r="T75" s="42"/>
      <c r="U75" s="42"/>
      <c r="V75" s="42"/>
      <c r="W75" s="42"/>
      <c r="X75" s="42"/>
      <c r="Y75" s="42"/>
      <c r="Z75" s="42"/>
      <c r="AA75" s="42"/>
      <c r="AB75" s="42"/>
      <c r="AC75" s="42"/>
      <c r="AD75" s="42"/>
      <c r="AE75" s="42"/>
      <c r="AF75" s="42"/>
      <c r="BB75" s="32"/>
    </row>
    <row r="76" spans="1:54" ht="15" hidden="1" x14ac:dyDescent="0.25">
      <c r="A76" s="91" t="s">
        <v>211</v>
      </c>
      <c r="B76" s="55"/>
      <c r="C76" s="90">
        <f>Summary!C5</f>
        <v>38</v>
      </c>
      <c r="D76" s="90">
        <f>C77</f>
        <v>38</v>
      </c>
      <c r="E76" s="90">
        <f>D77</f>
        <v>38</v>
      </c>
      <c r="F76" s="90">
        <f>C76</f>
        <v>38</v>
      </c>
      <c r="G76" s="52"/>
      <c r="H76" s="52"/>
      <c r="I76" s="55"/>
      <c r="J76" s="55"/>
      <c r="K76" s="55"/>
      <c r="L76" s="52"/>
      <c r="M76" s="52"/>
      <c r="N76" s="51"/>
      <c r="O76" s="36"/>
      <c r="P76" s="839"/>
      <c r="Q76" s="839"/>
      <c r="R76" s="839"/>
      <c r="S76" s="42"/>
      <c r="T76" s="42"/>
      <c r="U76" s="42"/>
      <c r="V76" s="42"/>
      <c r="W76" s="42"/>
      <c r="X76" s="42"/>
      <c r="Y76" s="42"/>
      <c r="Z76" s="42"/>
      <c r="AA76" s="42"/>
      <c r="AB76" s="42"/>
      <c r="AC76" s="42"/>
      <c r="AD76" s="42"/>
      <c r="AE76" s="42"/>
      <c r="AF76" s="42"/>
      <c r="BB76" s="32"/>
    </row>
    <row r="77" spans="1:54" ht="15" hidden="1" x14ac:dyDescent="0.25">
      <c r="A77" s="91" t="s">
        <v>212</v>
      </c>
      <c r="B77" s="55"/>
      <c r="C77" s="90">
        <f>C76+C75</f>
        <v>38</v>
      </c>
      <c r="D77" s="90">
        <f>D76+D75</f>
        <v>38</v>
      </c>
      <c r="E77" s="90">
        <f>Summary!C9</f>
        <v>50</v>
      </c>
      <c r="F77" s="90">
        <f>E77</f>
        <v>50</v>
      </c>
      <c r="G77" s="52"/>
      <c r="H77" s="52"/>
      <c r="I77" s="55"/>
      <c r="J77" s="55"/>
      <c r="K77" s="55" t="s">
        <v>360</v>
      </c>
      <c r="L77" s="58">
        <f>O28/O37</f>
        <v>77.000000000000014</v>
      </c>
      <c r="M77" s="55" t="s">
        <v>77</v>
      </c>
      <c r="N77" s="51"/>
      <c r="O77" s="36"/>
      <c r="P77" s="839"/>
      <c r="Q77" s="839"/>
      <c r="R77" s="839"/>
      <c r="S77" s="42"/>
      <c r="T77" s="42"/>
      <c r="U77" s="42"/>
      <c r="V77" s="42"/>
      <c r="W77" s="42"/>
      <c r="X77" s="42"/>
      <c r="Y77" s="42"/>
      <c r="Z77" s="42"/>
      <c r="AA77" s="42"/>
      <c r="AB77" s="42"/>
      <c r="AC77" s="42"/>
      <c r="AD77" s="42"/>
      <c r="AE77" s="42"/>
      <c r="AF77" s="42"/>
      <c r="BB77" s="32"/>
    </row>
    <row r="78" spans="1:54" ht="15" hidden="1" x14ac:dyDescent="0.25">
      <c r="A78" s="91" t="s">
        <v>213</v>
      </c>
      <c r="B78" s="55"/>
      <c r="C78" s="90">
        <f>(C76+C77)/2</f>
        <v>38</v>
      </c>
      <c r="D78" s="90">
        <f>(D76+D77)/2</f>
        <v>38</v>
      </c>
      <c r="E78" s="90">
        <f>(E76+E77)/2</f>
        <v>44</v>
      </c>
      <c r="F78" s="52">
        <f>SUM(C76+E77)/2</f>
        <v>44</v>
      </c>
      <c r="G78" s="52"/>
      <c r="H78" s="52"/>
      <c r="I78" s="55"/>
      <c r="J78" s="55"/>
      <c r="K78" s="55" t="s">
        <v>361</v>
      </c>
      <c r="L78" s="58">
        <f>L77*E34*0.01</f>
        <v>69.300000000000011</v>
      </c>
      <c r="M78" s="55" t="s">
        <v>77</v>
      </c>
      <c r="N78" s="51"/>
      <c r="O78" s="36"/>
      <c r="P78" s="839"/>
      <c r="Q78" s="839"/>
      <c r="R78" s="839"/>
      <c r="S78" s="42"/>
      <c r="T78" s="42"/>
      <c r="U78" s="42"/>
      <c r="V78" s="42"/>
      <c r="W78" s="42"/>
      <c r="X78" s="42"/>
      <c r="Y78" s="42"/>
      <c r="Z78" s="42"/>
      <c r="AA78" s="42"/>
      <c r="AB78" s="42"/>
      <c r="AC78" s="42"/>
      <c r="AD78" s="42"/>
      <c r="AE78" s="42"/>
      <c r="AF78" s="42"/>
      <c r="BB78" s="32"/>
    </row>
    <row r="79" spans="1:54" ht="15" hidden="1" x14ac:dyDescent="0.25">
      <c r="A79" s="91" t="s">
        <v>216</v>
      </c>
      <c r="B79" s="55"/>
      <c r="C79" s="90">
        <f>Summary!$C$16</f>
        <v>3.5</v>
      </c>
      <c r="D79" s="90">
        <f>Summary!$C$16</f>
        <v>3.5</v>
      </c>
      <c r="E79" s="90">
        <f>Summary!$C$16</f>
        <v>3.5</v>
      </c>
      <c r="F79" s="90">
        <f>Summary!$C$16</f>
        <v>3.5</v>
      </c>
      <c r="G79" s="52"/>
      <c r="H79" s="52"/>
      <c r="I79" s="55"/>
      <c r="J79" s="55"/>
      <c r="K79" s="55"/>
      <c r="L79" s="55"/>
      <c r="M79" s="55"/>
      <c r="N79" s="51"/>
      <c r="O79" s="36"/>
      <c r="P79" s="839"/>
      <c r="Q79" s="839"/>
      <c r="R79" s="839"/>
      <c r="S79" s="42"/>
      <c r="T79" s="42"/>
      <c r="U79" s="42"/>
      <c r="V79" s="42"/>
      <c r="W79" s="42"/>
      <c r="X79" s="42"/>
      <c r="Y79" s="42"/>
      <c r="Z79" s="42"/>
      <c r="AA79" s="42"/>
      <c r="AB79" s="42"/>
      <c r="AC79" s="42"/>
      <c r="AD79" s="42"/>
      <c r="AE79" s="42"/>
      <c r="AF79" s="42"/>
      <c r="BB79" s="32"/>
    </row>
    <row r="80" spans="1:54" ht="15" hidden="1" x14ac:dyDescent="0.25">
      <c r="A80" s="85" t="s">
        <v>225</v>
      </c>
      <c r="B80" s="55"/>
      <c r="C80" s="87">
        <f>C78*C79*0.01</f>
        <v>1.33</v>
      </c>
      <c r="D80" s="87">
        <f>D78*D79*0.01</f>
        <v>1.33</v>
      </c>
      <c r="E80" s="87">
        <f>E78*E79*0.01</f>
        <v>1.54</v>
      </c>
      <c r="F80" s="87">
        <f>F78*F79*0.01</f>
        <v>1.54</v>
      </c>
      <c r="G80" s="52"/>
      <c r="H80" s="52"/>
      <c r="I80" s="55"/>
      <c r="J80" s="55"/>
      <c r="K80" s="55"/>
      <c r="L80" s="55"/>
      <c r="M80" s="55"/>
      <c r="N80" s="51"/>
      <c r="O80" s="36"/>
      <c r="P80" s="839"/>
      <c r="Q80" s="839"/>
      <c r="R80" s="839"/>
      <c r="S80" s="42"/>
      <c r="T80" s="42"/>
      <c r="U80" s="42"/>
      <c r="V80" s="42"/>
      <c r="W80" s="42"/>
      <c r="X80" s="42"/>
      <c r="Y80" s="42"/>
      <c r="Z80" s="42"/>
      <c r="AA80" s="42"/>
      <c r="AB80" s="42"/>
      <c r="AC80" s="42"/>
      <c r="AD80" s="42"/>
      <c r="AE80" s="42"/>
      <c r="AF80" s="42"/>
      <c r="BB80" s="32"/>
    </row>
    <row r="81" spans="1:54" ht="15" hidden="1" x14ac:dyDescent="0.25">
      <c r="A81" s="85" t="s">
        <v>226</v>
      </c>
      <c r="B81" s="55"/>
      <c r="C81" s="90">
        <f>C80*C83</f>
        <v>0</v>
      </c>
      <c r="D81" s="90">
        <f>D80*D83</f>
        <v>0</v>
      </c>
      <c r="E81" s="90">
        <f>F81-D81-C81</f>
        <v>66</v>
      </c>
      <c r="F81" s="90">
        <f>F80*F83</f>
        <v>66</v>
      </c>
      <c r="G81" s="52"/>
      <c r="H81" s="52"/>
      <c r="I81" s="55"/>
      <c r="J81" s="55"/>
      <c r="K81" s="55"/>
      <c r="L81" s="55"/>
      <c r="M81" s="55"/>
      <c r="N81" s="51"/>
      <c r="O81" s="36"/>
      <c r="P81" s="839"/>
      <c r="Q81" s="839"/>
      <c r="R81" s="839"/>
      <c r="S81" s="42"/>
      <c r="T81" s="42"/>
      <c r="U81" s="42"/>
      <c r="V81" s="42"/>
      <c r="W81" s="42"/>
      <c r="X81" s="42"/>
      <c r="Y81" s="42"/>
      <c r="Z81" s="42"/>
      <c r="AA81" s="42"/>
      <c r="AB81" s="42"/>
      <c r="AC81" s="42"/>
      <c r="AD81" s="42"/>
      <c r="AE81" s="42"/>
      <c r="AF81" s="42"/>
      <c r="BB81" s="32"/>
    </row>
    <row r="82" spans="1:54" ht="15" hidden="1" x14ac:dyDescent="0.25">
      <c r="A82" s="85" t="s">
        <v>227</v>
      </c>
      <c r="B82" s="55"/>
      <c r="C82" s="90">
        <f>C81*100/$F$81</f>
        <v>0</v>
      </c>
      <c r="D82" s="90">
        <f>D81*100/$F$81</f>
        <v>0</v>
      </c>
      <c r="E82" s="90">
        <f>E81*100/$F$81</f>
        <v>100</v>
      </c>
      <c r="F82" s="90">
        <f>SUM(B82:E82)</f>
        <v>100</v>
      </c>
      <c r="G82" s="52"/>
      <c r="H82" s="52"/>
      <c r="I82" s="55"/>
      <c r="J82" s="55"/>
      <c r="K82" s="55"/>
      <c r="L82" s="55"/>
      <c r="M82" s="55"/>
      <c r="N82" s="51"/>
      <c r="O82" s="36"/>
      <c r="P82" s="839"/>
      <c r="Q82" s="839"/>
      <c r="R82" s="839"/>
      <c r="S82" s="42"/>
      <c r="T82" s="42"/>
      <c r="U82" s="42"/>
      <c r="V82" s="42"/>
      <c r="W82" s="42"/>
      <c r="X82" s="42"/>
      <c r="Y82" s="42"/>
      <c r="Z82" s="42"/>
      <c r="AA82" s="42"/>
      <c r="AB82" s="42"/>
      <c r="AC82" s="42"/>
      <c r="AD82" s="42"/>
      <c r="AE82" s="42"/>
      <c r="AF82" s="42"/>
      <c r="BB82" s="32"/>
    </row>
    <row r="83" spans="1:54" ht="15" hidden="1" x14ac:dyDescent="0.25">
      <c r="A83" s="85" t="s">
        <v>214</v>
      </c>
      <c r="B83" s="55"/>
      <c r="C83" s="90">
        <f>IF(B32="",0,C29)</f>
        <v>0</v>
      </c>
      <c r="D83" s="90">
        <f>IF(B32="",0,IF(C32="",0,D29))</f>
        <v>0</v>
      </c>
      <c r="E83" s="90">
        <f>E29</f>
        <v>42.857142857142854</v>
      </c>
      <c r="F83" s="90">
        <f>SUM(B83:E83)</f>
        <v>42.857142857142854</v>
      </c>
      <c r="G83" s="52"/>
      <c r="H83" s="52"/>
      <c r="I83" s="55"/>
      <c r="J83" s="55"/>
      <c r="K83" s="55"/>
      <c r="L83" s="55"/>
      <c r="M83" s="55"/>
      <c r="N83" s="51"/>
      <c r="O83" s="36"/>
      <c r="P83" s="839"/>
      <c r="Q83" s="839"/>
      <c r="R83" s="839"/>
      <c r="S83" s="42"/>
      <c r="T83" s="42"/>
      <c r="U83" s="42"/>
      <c r="V83" s="42"/>
      <c r="W83" s="42"/>
      <c r="X83" s="42"/>
      <c r="Y83" s="42"/>
      <c r="Z83" s="42"/>
      <c r="AA83" s="42"/>
      <c r="AB83" s="42"/>
      <c r="AC83" s="42"/>
      <c r="AD83" s="42"/>
      <c r="AE83" s="42"/>
      <c r="AF83" s="42"/>
      <c r="BB83" s="32"/>
    </row>
    <row r="84" spans="1:54" ht="15" hidden="1" x14ac:dyDescent="0.25">
      <c r="A84" s="85" t="s">
        <v>158</v>
      </c>
      <c r="B84" s="55"/>
      <c r="C84" s="90">
        <f>E84</f>
        <v>5000</v>
      </c>
      <c r="D84" s="90">
        <f>E84</f>
        <v>5000</v>
      </c>
      <c r="E84" s="90">
        <f>Summary!C4</f>
        <v>5000</v>
      </c>
      <c r="F84" s="90">
        <f>E84</f>
        <v>5000</v>
      </c>
      <c r="G84" s="52"/>
      <c r="H84" s="52"/>
      <c r="I84" s="55"/>
      <c r="J84" s="55"/>
      <c r="K84" s="55"/>
      <c r="L84" s="55"/>
      <c r="M84" s="55"/>
      <c r="N84" s="51"/>
      <c r="O84" s="36"/>
      <c r="P84" s="839"/>
      <c r="Q84" s="839"/>
      <c r="R84" s="839"/>
      <c r="S84" s="42"/>
      <c r="T84" s="42"/>
      <c r="U84" s="42"/>
      <c r="V84" s="42"/>
      <c r="W84" s="42"/>
      <c r="X84" s="42"/>
      <c r="Y84" s="42"/>
      <c r="Z84" s="42"/>
      <c r="AA84" s="42"/>
      <c r="AB84" s="42"/>
      <c r="AC84" s="42"/>
      <c r="AD84" s="42"/>
      <c r="AE84" s="42"/>
      <c r="AF84" s="42"/>
      <c r="BB84" s="32"/>
    </row>
    <row r="85" spans="1:54" ht="15" hidden="1" x14ac:dyDescent="0.25">
      <c r="A85" s="85" t="s">
        <v>236</v>
      </c>
      <c r="B85" s="55"/>
      <c r="C85" s="88">
        <f>C84*C81</f>
        <v>0</v>
      </c>
      <c r="D85" s="88">
        <f>D84*D81</f>
        <v>0</v>
      </c>
      <c r="E85" s="88">
        <f>E84*E81</f>
        <v>330000</v>
      </c>
      <c r="F85" s="88">
        <f>SUM(B85:E85)</f>
        <v>330000</v>
      </c>
      <c r="G85" s="52"/>
      <c r="H85" s="52"/>
      <c r="I85" s="55"/>
      <c r="J85" s="55"/>
      <c r="K85" s="55"/>
      <c r="L85" s="55"/>
      <c r="M85" s="55"/>
      <c r="N85" s="51"/>
      <c r="O85" s="36"/>
      <c r="P85" s="839"/>
      <c r="Q85" s="839"/>
      <c r="R85" s="839"/>
      <c r="S85" s="42"/>
      <c r="T85" s="42"/>
      <c r="U85" s="42"/>
      <c r="V85" s="42"/>
      <c r="W85" s="42"/>
      <c r="X85" s="42"/>
      <c r="Y85" s="42"/>
      <c r="Z85" s="42"/>
      <c r="AA85" s="42"/>
      <c r="AB85" s="42"/>
      <c r="AC85" s="42"/>
      <c r="AD85" s="42"/>
      <c r="AE85" s="42"/>
      <c r="AF85" s="42"/>
      <c r="BB85" s="32"/>
    </row>
    <row r="86" spans="1:54" ht="15" hidden="1" x14ac:dyDescent="0.25">
      <c r="A86" s="85" t="s">
        <v>237</v>
      </c>
      <c r="B86" s="55"/>
      <c r="C86" s="88">
        <f>IF(B63=0,0,C85*100/B34)</f>
        <v>0</v>
      </c>
      <c r="D86" s="88">
        <f>IF(D63=0,0,D85*100/C34)</f>
        <v>0</v>
      </c>
      <c r="E86" s="88">
        <f>E85*100/D34</f>
        <v>366666.66666666669</v>
      </c>
      <c r="F86" s="88">
        <f>SUM(B86:E86)</f>
        <v>366666.66666666669</v>
      </c>
      <c r="G86" s="55"/>
      <c r="H86" s="55"/>
      <c r="I86" s="55"/>
      <c r="J86" s="55"/>
      <c r="K86" s="55"/>
      <c r="L86" s="55"/>
      <c r="M86" s="55"/>
      <c r="N86" s="51"/>
      <c r="O86" s="36"/>
      <c r="P86" s="839"/>
      <c r="Q86" s="839"/>
      <c r="R86" s="839"/>
      <c r="S86" s="42"/>
      <c r="T86" s="42"/>
      <c r="U86" s="42"/>
      <c r="V86" s="42"/>
      <c r="W86" s="42"/>
      <c r="X86" s="42"/>
      <c r="Y86" s="42"/>
      <c r="Z86" s="42"/>
      <c r="AA86" s="42"/>
      <c r="AB86" s="42"/>
      <c r="AC86" s="42"/>
      <c r="AD86" s="42"/>
      <c r="AE86" s="42"/>
      <c r="AF86" s="42"/>
      <c r="BB86" s="32"/>
    </row>
    <row r="87" spans="1:54" ht="15" hidden="1" x14ac:dyDescent="0.25">
      <c r="A87" s="85"/>
      <c r="B87" s="55"/>
      <c r="C87" s="90"/>
      <c r="D87" s="90"/>
      <c r="E87" s="90"/>
      <c r="F87" s="52"/>
      <c r="G87" s="55"/>
      <c r="H87" s="55"/>
      <c r="I87" s="55"/>
      <c r="J87" s="55"/>
      <c r="K87" s="55"/>
      <c r="L87" s="55"/>
      <c r="M87" s="55"/>
      <c r="N87" s="51"/>
      <c r="O87" s="36"/>
      <c r="P87" s="839"/>
      <c r="Q87" s="839"/>
      <c r="R87" s="839"/>
      <c r="S87" s="42"/>
      <c r="T87" s="42"/>
      <c r="U87" s="42"/>
      <c r="V87" s="42"/>
      <c r="W87" s="42"/>
      <c r="X87" s="42"/>
      <c r="Y87" s="42"/>
      <c r="Z87" s="42"/>
      <c r="AA87" s="42"/>
      <c r="AB87" s="42"/>
      <c r="AC87" s="42"/>
      <c r="AD87" s="42"/>
      <c r="AE87" s="42"/>
      <c r="AF87" s="42"/>
      <c r="BB87" s="32"/>
    </row>
    <row r="88" spans="1:54" ht="15" hidden="1" x14ac:dyDescent="0.25">
      <c r="A88" s="85"/>
      <c r="B88" s="54"/>
      <c r="C88" s="55"/>
      <c r="D88" s="55"/>
      <c r="E88" s="55"/>
      <c r="F88" s="55"/>
      <c r="G88" s="55"/>
      <c r="H88" s="55"/>
      <c r="I88" s="55"/>
      <c r="J88" s="55"/>
      <c r="K88" s="55"/>
      <c r="L88" s="55"/>
      <c r="M88" s="55"/>
      <c r="N88" s="51"/>
      <c r="O88" s="36"/>
      <c r="P88" s="839"/>
      <c r="Q88" s="839"/>
      <c r="R88" s="839"/>
      <c r="S88" s="42"/>
      <c r="T88" s="42"/>
      <c r="U88" s="42"/>
      <c r="V88" s="42"/>
      <c r="W88" s="42"/>
      <c r="X88" s="42"/>
      <c r="Y88" s="42"/>
      <c r="Z88" s="42"/>
      <c r="AA88" s="42"/>
      <c r="AB88" s="42"/>
      <c r="AC88" s="42"/>
      <c r="AD88" s="42"/>
      <c r="AE88" s="42"/>
      <c r="AF88" s="42"/>
      <c r="BB88" s="32"/>
    </row>
    <row r="89" spans="1:54" ht="15" hidden="1" x14ac:dyDescent="0.25">
      <c r="A89" s="85"/>
      <c r="B89" s="54"/>
      <c r="C89" s="256" t="str">
        <f>C71</f>
        <v>Starter</v>
      </c>
      <c r="D89" s="256" t="str">
        <f>D71</f>
        <v>Ration 2</v>
      </c>
      <c r="E89" s="256" t="str">
        <f>E71</f>
        <v>Final</v>
      </c>
      <c r="F89" s="256" t="str">
        <f>F71</f>
        <v>Overall</v>
      </c>
      <c r="G89" s="256" t="s">
        <v>476</v>
      </c>
      <c r="H89" s="105"/>
      <c r="I89" s="55"/>
      <c r="J89" s="55"/>
      <c r="K89" s="55"/>
      <c r="L89" s="55"/>
      <c r="M89" s="55"/>
      <c r="N89" s="51"/>
      <c r="O89" s="36"/>
      <c r="P89" s="839"/>
      <c r="Q89" s="839"/>
      <c r="R89" s="839"/>
      <c r="S89" s="42"/>
      <c r="T89" s="42"/>
      <c r="U89" s="42"/>
      <c r="V89" s="42"/>
      <c r="W89" s="42"/>
      <c r="X89" s="42"/>
      <c r="Y89" s="42"/>
      <c r="Z89" s="42"/>
      <c r="AA89" s="42"/>
      <c r="AB89" s="42"/>
      <c r="AC89" s="42"/>
      <c r="AD89" s="42"/>
      <c r="AE89" s="42"/>
      <c r="AF89" s="42"/>
      <c r="BB89" s="32"/>
    </row>
    <row r="90" spans="1:54" ht="15" hidden="1" x14ac:dyDescent="0.25">
      <c r="A90" s="85" t="s">
        <v>137</v>
      </c>
      <c r="B90" s="90" t="s">
        <v>213</v>
      </c>
      <c r="C90" s="256">
        <f>C78</f>
        <v>38</v>
      </c>
      <c r="D90" s="256">
        <f>D78</f>
        <v>38</v>
      </c>
      <c r="E90" s="256">
        <f>E78</f>
        <v>44</v>
      </c>
      <c r="F90" s="256">
        <f>F78</f>
        <v>44</v>
      </c>
      <c r="G90" s="256">
        <f>C76</f>
        <v>38</v>
      </c>
      <c r="H90" s="105"/>
      <c r="I90" s="55"/>
      <c r="J90" s="55"/>
      <c r="K90" s="55"/>
      <c r="L90" s="55"/>
      <c r="M90" s="55"/>
      <c r="N90" s="51"/>
      <c r="O90" s="36"/>
      <c r="P90" s="839"/>
      <c r="Q90" s="839"/>
      <c r="R90" s="839"/>
      <c r="S90" s="42"/>
      <c r="T90" s="42"/>
      <c r="U90" s="42"/>
      <c r="V90" s="42"/>
      <c r="W90" s="42"/>
      <c r="X90" s="42"/>
      <c r="Y90" s="42"/>
      <c r="Z90" s="42"/>
      <c r="AA90" s="42"/>
      <c r="AB90" s="42"/>
      <c r="AC90" s="42"/>
      <c r="AD90" s="42"/>
      <c r="AE90" s="42"/>
      <c r="AF90" s="42"/>
      <c r="BB90" s="32"/>
    </row>
    <row r="91" spans="1:54" ht="15" hidden="1" x14ac:dyDescent="0.25">
      <c r="A91" s="59"/>
      <c r="B91" s="90" t="s">
        <v>139</v>
      </c>
      <c r="C91" s="256" t="str">
        <f>L31</f>
        <v/>
      </c>
      <c r="D91" s="256" t="str">
        <f>M31</f>
        <v/>
      </c>
      <c r="E91" s="256">
        <f>N31</f>
        <v>13</v>
      </c>
      <c r="F91" s="256">
        <f>O31</f>
        <v>13</v>
      </c>
      <c r="G91" s="256" t="str">
        <f>C91</f>
        <v/>
      </c>
      <c r="H91" s="105"/>
      <c r="I91" s="55"/>
      <c r="J91" s="55"/>
      <c r="K91" s="55"/>
      <c r="L91" s="55"/>
      <c r="M91" s="55"/>
      <c r="N91" s="51"/>
      <c r="O91" s="36"/>
      <c r="P91" s="839"/>
      <c r="Q91" s="839"/>
      <c r="R91" s="839"/>
      <c r="S91" s="42"/>
      <c r="T91" s="42"/>
      <c r="U91" s="42"/>
      <c r="V91" s="42"/>
      <c r="W91" s="42"/>
      <c r="X91" s="42"/>
      <c r="Y91" s="42"/>
      <c r="Z91" s="42"/>
      <c r="AA91" s="42"/>
      <c r="AB91" s="42"/>
      <c r="AC91" s="42"/>
      <c r="AD91" s="42"/>
      <c r="AE91" s="42"/>
      <c r="AF91" s="42"/>
      <c r="BB91" s="32"/>
    </row>
    <row r="92" spans="1:54" ht="15" hidden="1" x14ac:dyDescent="0.25">
      <c r="A92" s="59"/>
      <c r="B92" s="90" t="s">
        <v>138</v>
      </c>
      <c r="C92" s="256">
        <f>$B$103</f>
        <v>2.11</v>
      </c>
      <c r="D92" s="256">
        <f>$B$103</f>
        <v>2.11</v>
      </c>
      <c r="E92" s="256">
        <f>$B$103</f>
        <v>2.11</v>
      </c>
      <c r="F92" s="256">
        <f>$B$103</f>
        <v>2.11</v>
      </c>
      <c r="G92" s="256">
        <f>$B$103</f>
        <v>2.11</v>
      </c>
      <c r="H92" s="105"/>
      <c r="I92" s="55"/>
      <c r="J92" s="55"/>
      <c r="K92" s="55"/>
      <c r="L92" s="55"/>
      <c r="M92" s="55"/>
      <c r="N92" s="51"/>
      <c r="O92" s="36"/>
      <c r="P92" s="839"/>
      <c r="Q92" s="839"/>
      <c r="R92" s="839"/>
      <c r="S92" s="42"/>
      <c r="T92" s="42"/>
      <c r="U92" s="42"/>
      <c r="V92" s="42"/>
      <c r="W92" s="42"/>
      <c r="X92" s="42"/>
      <c r="Y92" s="42"/>
      <c r="Z92" s="42"/>
      <c r="AA92" s="42"/>
      <c r="AB92" s="42"/>
      <c r="AC92" s="42"/>
      <c r="AD92" s="42"/>
      <c r="AE92" s="42"/>
      <c r="AF92" s="42"/>
      <c r="BB92" s="32"/>
    </row>
    <row r="93" spans="1:54" ht="15" hidden="1" x14ac:dyDescent="0.25">
      <c r="A93" s="59"/>
      <c r="B93" s="90" t="s">
        <v>139</v>
      </c>
      <c r="C93" s="256" t="e">
        <f>$B$104*C91</f>
        <v>#VALUE!</v>
      </c>
      <c r="D93" s="256" t="e">
        <f>$B$104*D91</f>
        <v>#VALUE!</v>
      </c>
      <c r="E93" s="256">
        <f>$B$104*E91</f>
        <v>18.329999999999998</v>
      </c>
      <c r="F93" s="256">
        <f>$B$104*F91</f>
        <v>18.329999999999998</v>
      </c>
      <c r="G93" s="256" t="e">
        <f>$B$104*G91</f>
        <v>#VALUE!</v>
      </c>
      <c r="H93" s="105"/>
      <c r="I93" s="55"/>
      <c r="J93" s="55"/>
      <c r="K93" s="55"/>
      <c r="L93" s="55"/>
      <c r="M93" s="55"/>
      <c r="N93" s="51"/>
      <c r="O93" s="36"/>
      <c r="P93" s="839"/>
      <c r="Q93" s="839"/>
      <c r="R93" s="839"/>
      <c r="S93" s="42"/>
      <c r="T93" s="42"/>
      <c r="U93" s="42"/>
      <c r="V93" s="42"/>
      <c r="W93" s="42"/>
      <c r="X93" s="42"/>
      <c r="Y93" s="42"/>
      <c r="Z93" s="42"/>
      <c r="AA93" s="42"/>
      <c r="AB93" s="42"/>
      <c r="AC93" s="42"/>
      <c r="AD93" s="42"/>
      <c r="AE93" s="42"/>
      <c r="AF93" s="42"/>
      <c r="BB93" s="32"/>
    </row>
    <row r="94" spans="1:54" ht="15" hidden="1" x14ac:dyDescent="0.25">
      <c r="A94" s="59"/>
      <c r="B94" s="90" t="s">
        <v>140</v>
      </c>
      <c r="C94" s="256">
        <f>$B$105*C90</f>
        <v>-14.478</v>
      </c>
      <c r="D94" s="256">
        <f>$B$105*D90</f>
        <v>-14.478</v>
      </c>
      <c r="E94" s="256">
        <f>$B$105*E90</f>
        <v>-16.763999999999999</v>
      </c>
      <c r="F94" s="256">
        <f>$B$105*F90</f>
        <v>-16.763999999999999</v>
      </c>
      <c r="G94" s="256">
        <f>$B$105*G90</f>
        <v>-14.478</v>
      </c>
      <c r="H94" s="105"/>
      <c r="I94" s="55"/>
      <c r="J94" s="55"/>
      <c r="K94" s="55"/>
      <c r="L94" s="55"/>
      <c r="M94" s="55"/>
      <c r="N94" s="51"/>
      <c r="O94" s="36"/>
      <c r="P94" s="839"/>
      <c r="Q94" s="839"/>
      <c r="R94" s="839"/>
      <c r="S94" s="42"/>
      <c r="T94" s="42"/>
      <c r="U94" s="42"/>
      <c r="V94" s="42"/>
      <c r="W94" s="42"/>
      <c r="X94" s="42"/>
      <c r="Y94" s="42"/>
      <c r="Z94" s="42"/>
      <c r="AA94" s="42"/>
      <c r="AB94" s="42"/>
      <c r="AC94" s="42"/>
      <c r="AD94" s="42"/>
      <c r="AE94" s="42"/>
      <c r="AF94" s="42"/>
      <c r="BB94" s="32"/>
    </row>
    <row r="95" spans="1:54" ht="15" hidden="1" x14ac:dyDescent="0.25">
      <c r="A95" s="59"/>
      <c r="B95" s="90" t="s">
        <v>141</v>
      </c>
      <c r="C95" s="256" t="e">
        <f>$B$106*C90*C91</f>
        <v>#VALUE!</v>
      </c>
      <c r="D95" s="256" t="e">
        <f>$B$106*D90*D91</f>
        <v>#VALUE!</v>
      </c>
      <c r="E95" s="256">
        <f>$B$106*E90*E91</f>
        <v>12.298</v>
      </c>
      <c r="F95" s="256">
        <f>$B$106*F90*F91</f>
        <v>12.298</v>
      </c>
      <c r="G95" s="256" t="e">
        <f>$B$106*G90*G91</f>
        <v>#VALUE!</v>
      </c>
      <c r="H95" s="105"/>
      <c r="I95" s="55"/>
      <c r="J95" s="55"/>
      <c r="K95" s="55"/>
      <c r="L95" s="55"/>
      <c r="M95" s="55"/>
      <c r="N95" s="51"/>
      <c r="O95" s="36"/>
      <c r="P95" s="839"/>
      <c r="Q95" s="839"/>
      <c r="R95" s="839"/>
      <c r="S95" s="42"/>
      <c r="T95" s="42"/>
      <c r="U95" s="42"/>
      <c r="V95" s="42"/>
      <c r="W95" s="42"/>
      <c r="X95" s="42"/>
      <c r="Y95" s="42"/>
      <c r="Z95" s="42"/>
      <c r="AA95" s="42"/>
      <c r="AB95" s="42"/>
      <c r="AC95" s="42"/>
      <c r="AD95" s="42"/>
      <c r="AE95" s="42"/>
      <c r="AF95" s="42"/>
      <c r="BB95" s="32"/>
    </row>
    <row r="96" spans="1:54" ht="15" hidden="1" x14ac:dyDescent="0.25">
      <c r="A96" s="59"/>
      <c r="B96" s="90" t="s">
        <v>240</v>
      </c>
      <c r="C96" s="256" t="e">
        <f>SUM(C92:C95)</f>
        <v>#VALUE!</v>
      </c>
      <c r="D96" s="256" t="e">
        <f>SUM(D92:D95)</f>
        <v>#VALUE!</v>
      </c>
      <c r="E96" s="256">
        <f>SUM(E92:E95)</f>
        <v>15.973999999999998</v>
      </c>
      <c r="F96" s="256">
        <f>SUM(F92:F95)</f>
        <v>15.973999999999998</v>
      </c>
      <c r="G96" s="256" t="e">
        <f>SUM(G92:G95)</f>
        <v>#VALUE!</v>
      </c>
      <c r="H96" s="105"/>
      <c r="I96" s="55"/>
      <c r="J96" s="50"/>
      <c r="K96" s="92"/>
      <c r="L96" s="50"/>
      <c r="M96" s="50"/>
      <c r="N96" s="93"/>
      <c r="O96" s="35"/>
      <c r="P96" s="839"/>
      <c r="Q96" s="839"/>
      <c r="R96" s="839"/>
      <c r="S96" s="42"/>
      <c r="T96" s="42"/>
      <c r="U96" s="42"/>
      <c r="V96" s="42"/>
      <c r="W96" s="42"/>
      <c r="X96" s="42"/>
      <c r="Y96" s="42"/>
      <c r="Z96" s="42"/>
      <c r="AA96" s="42"/>
      <c r="AB96" s="42"/>
      <c r="AC96" s="42"/>
      <c r="AD96" s="42"/>
      <c r="AE96" s="42"/>
      <c r="AF96" s="42"/>
      <c r="BB96" s="32"/>
    </row>
    <row r="97" spans="1:54" ht="15" hidden="1" x14ac:dyDescent="0.2">
      <c r="A97" s="59"/>
      <c r="B97" s="55"/>
      <c r="C97" s="54"/>
      <c r="D97" s="54"/>
      <c r="E97" s="54"/>
      <c r="F97" s="54"/>
      <c r="G97" s="94"/>
      <c r="H97" s="94"/>
      <c r="I97" s="55"/>
      <c r="J97" s="95"/>
      <c r="K97" s="95"/>
      <c r="L97" s="95"/>
      <c r="M97" s="95"/>
      <c r="N97" s="96"/>
      <c r="O97" s="43"/>
      <c r="P97" s="839"/>
      <c r="Q97" s="839"/>
      <c r="R97" s="839"/>
      <c r="S97" s="42"/>
      <c r="T97" s="42"/>
      <c r="U97" s="42"/>
      <c r="V97" s="42"/>
      <c r="W97" s="42"/>
      <c r="X97" s="42"/>
      <c r="Y97" s="42"/>
      <c r="Z97" s="42"/>
      <c r="AA97" s="42"/>
      <c r="AB97" s="42"/>
      <c r="AC97" s="42"/>
      <c r="AD97" s="42"/>
      <c r="AE97" s="42"/>
      <c r="AF97" s="42"/>
      <c r="BB97" s="32"/>
    </row>
    <row r="98" spans="1:54" ht="15.75" hidden="1" x14ac:dyDescent="0.25">
      <c r="A98" s="59"/>
      <c r="B98" s="90"/>
      <c r="C98" s="97"/>
      <c r="D98" s="97"/>
      <c r="E98" s="97"/>
      <c r="F98" s="97"/>
      <c r="G98" s="94"/>
      <c r="H98" s="94"/>
      <c r="I98" s="55"/>
      <c r="J98" s="95"/>
      <c r="K98" s="95"/>
      <c r="L98" s="95"/>
      <c r="M98" s="95"/>
      <c r="N98" s="96"/>
      <c r="O98" s="43"/>
      <c r="P98" s="839"/>
      <c r="Q98" s="839"/>
      <c r="R98" s="839"/>
      <c r="S98" s="42"/>
      <c r="T98" s="42"/>
      <c r="U98" s="42"/>
      <c r="V98" s="42"/>
      <c r="W98" s="42"/>
      <c r="X98" s="42"/>
      <c r="Y98" s="42"/>
      <c r="Z98" s="42"/>
      <c r="AA98" s="42"/>
      <c r="AB98" s="42"/>
      <c r="AC98" s="42"/>
      <c r="AD98" s="42"/>
      <c r="AE98" s="42"/>
      <c r="AF98" s="42"/>
      <c r="BB98" s="32"/>
    </row>
    <row r="99" spans="1:54" ht="15.75" hidden="1" x14ac:dyDescent="0.25">
      <c r="A99" s="59"/>
      <c r="B99" s="90"/>
      <c r="C99" s="62"/>
      <c r="D99" s="62"/>
      <c r="E99" s="62"/>
      <c r="F99" s="55"/>
      <c r="G99" s="94"/>
      <c r="H99" s="94"/>
      <c r="I99" s="55"/>
      <c r="J99" s="95"/>
      <c r="K99" s="95"/>
      <c r="L99" s="95"/>
      <c r="M99" s="95"/>
      <c r="N99" s="96"/>
      <c r="O99" s="43"/>
      <c r="P99" s="839"/>
      <c r="Q99" s="839"/>
      <c r="R99" s="839"/>
      <c r="S99" s="42"/>
      <c r="T99" s="42"/>
      <c r="U99" s="42" t="s">
        <v>267</v>
      </c>
      <c r="V99" s="42"/>
      <c r="W99" s="42"/>
      <c r="X99" s="42"/>
      <c r="Y99" s="42"/>
      <c r="Z99" s="42"/>
      <c r="AA99" s="42"/>
      <c r="AB99" s="42"/>
      <c r="AC99" s="42"/>
      <c r="AD99" s="42"/>
      <c r="AE99" s="42"/>
      <c r="AF99" s="42"/>
      <c r="BB99" s="32"/>
    </row>
    <row r="100" spans="1:54" ht="15.75" hidden="1" x14ac:dyDescent="0.25">
      <c r="A100" s="59"/>
      <c r="B100" s="90"/>
      <c r="C100" s="98"/>
      <c r="D100" s="98"/>
      <c r="E100" s="98"/>
      <c r="F100" s="54"/>
      <c r="G100" s="94"/>
      <c r="H100" s="94"/>
      <c r="I100" s="55"/>
      <c r="J100" s="50"/>
      <c r="K100" s="50"/>
      <c r="L100" s="50"/>
      <c r="M100" s="50"/>
      <c r="N100" s="93"/>
      <c r="O100" s="35"/>
      <c r="P100" s="839"/>
      <c r="Q100" s="839"/>
      <c r="R100" s="839"/>
      <c r="S100" s="42"/>
      <c r="T100" s="42"/>
      <c r="U100" s="42"/>
      <c r="V100" s="42"/>
      <c r="W100" s="42"/>
      <c r="X100" s="42"/>
      <c r="Y100" s="42"/>
      <c r="Z100" s="42"/>
      <c r="AA100" s="42"/>
      <c r="AB100" s="42"/>
      <c r="AC100" s="42"/>
      <c r="AD100" s="42"/>
      <c r="AE100" s="42"/>
      <c r="AF100" s="42"/>
      <c r="BB100" s="32"/>
    </row>
    <row r="101" spans="1:54" ht="14.25" hidden="1" x14ac:dyDescent="0.2">
      <c r="A101" s="59"/>
      <c r="B101" s="55"/>
      <c r="C101" s="54"/>
      <c r="D101" s="54"/>
      <c r="E101" s="54"/>
      <c r="F101" s="54"/>
      <c r="G101" s="99"/>
      <c r="H101" s="99"/>
      <c r="I101" s="55"/>
      <c r="J101" s="55"/>
      <c r="K101" s="55"/>
      <c r="L101" s="55"/>
      <c r="M101" s="55"/>
      <c r="N101" s="51"/>
      <c r="O101" s="36"/>
      <c r="P101" s="839"/>
      <c r="Q101" s="839"/>
      <c r="R101" s="839"/>
      <c r="S101" s="42"/>
      <c r="T101" s="42"/>
      <c r="U101" s="42"/>
      <c r="V101" s="42"/>
      <c r="W101" s="42"/>
      <c r="X101" s="42"/>
      <c r="Y101" s="42"/>
      <c r="Z101" s="42"/>
      <c r="AA101" s="42"/>
      <c r="AB101" s="42"/>
      <c r="AC101" s="42"/>
      <c r="AD101" s="42"/>
      <c r="AE101" s="42"/>
      <c r="AF101" s="42"/>
      <c r="BB101" s="32"/>
    </row>
    <row r="102" spans="1:54" ht="15" hidden="1" x14ac:dyDescent="0.25">
      <c r="A102" s="59" t="s">
        <v>241</v>
      </c>
      <c r="B102" s="90" t="s">
        <v>259</v>
      </c>
      <c r="C102" s="54"/>
      <c r="D102" s="54"/>
      <c r="E102" s="54"/>
      <c r="F102" s="54"/>
      <c r="G102" s="55"/>
      <c r="H102" s="55"/>
      <c r="I102" s="55"/>
      <c r="J102" s="55"/>
      <c r="K102" s="55"/>
      <c r="L102" s="55"/>
      <c r="M102" s="55"/>
      <c r="N102" s="51"/>
      <c r="O102" s="36"/>
      <c r="P102" s="839"/>
      <c r="Q102" s="839"/>
      <c r="R102" s="839"/>
      <c r="S102" s="42"/>
      <c r="T102" s="42"/>
      <c r="U102" s="42"/>
      <c r="V102" s="42"/>
      <c r="W102" s="42"/>
      <c r="X102" s="42"/>
      <c r="Y102" s="42"/>
      <c r="Z102" s="42"/>
      <c r="AA102" s="42"/>
      <c r="AB102" s="42"/>
      <c r="AC102" s="42"/>
      <c r="AD102" s="42"/>
      <c r="AE102" s="42"/>
      <c r="AF102" s="42"/>
      <c r="BB102" s="32"/>
    </row>
    <row r="103" spans="1:54" ht="14.25" hidden="1" x14ac:dyDescent="0.2">
      <c r="A103" s="100" t="s">
        <v>138</v>
      </c>
      <c r="B103" s="54">
        <v>2.11</v>
      </c>
      <c r="C103" s="54"/>
      <c r="D103" s="54" t="s">
        <v>475</v>
      </c>
      <c r="E103" s="54"/>
      <c r="F103" s="54"/>
      <c r="G103" s="55"/>
      <c r="H103" s="55"/>
      <c r="I103" s="55"/>
      <c r="J103" s="55"/>
      <c r="K103" s="55"/>
      <c r="L103" s="55"/>
      <c r="M103" s="55"/>
      <c r="N103" s="51"/>
      <c r="O103" s="36"/>
      <c r="P103" s="839"/>
      <c r="Q103" s="839"/>
      <c r="R103" s="839"/>
      <c r="S103" s="42"/>
      <c r="T103" s="42"/>
      <c r="U103" s="42"/>
      <c r="V103" s="42"/>
      <c r="W103" s="42"/>
      <c r="X103" s="42"/>
      <c r="Y103" s="42"/>
      <c r="Z103" s="42"/>
      <c r="AA103" s="42"/>
      <c r="AB103" s="42"/>
      <c r="AC103" s="42"/>
      <c r="AD103" s="42"/>
      <c r="AE103" s="42"/>
      <c r="AF103" s="42"/>
      <c r="BB103" s="32"/>
    </row>
    <row r="104" spans="1:54" ht="14.25" hidden="1" x14ac:dyDescent="0.2">
      <c r="A104" s="100" t="s">
        <v>139</v>
      </c>
      <c r="B104" s="54">
        <v>1.41</v>
      </c>
      <c r="C104" s="97"/>
      <c r="D104" s="97" t="s">
        <v>260</v>
      </c>
      <c r="E104" s="54"/>
      <c r="F104" s="54"/>
      <c r="G104" s="55"/>
      <c r="H104" s="55"/>
      <c r="I104" s="55"/>
      <c r="J104" s="55"/>
      <c r="K104" s="55"/>
      <c r="L104" s="55"/>
      <c r="M104" s="55"/>
      <c r="N104" s="51"/>
      <c r="O104" s="36"/>
      <c r="P104" s="839"/>
      <c r="Q104" s="839"/>
      <c r="R104" s="839"/>
      <c r="S104" s="42"/>
      <c r="T104" s="42"/>
      <c r="U104" s="42"/>
      <c r="V104" s="42"/>
      <c r="W104" s="42"/>
      <c r="X104" s="42"/>
      <c r="Y104" s="42"/>
      <c r="Z104" s="42"/>
      <c r="AA104" s="42"/>
      <c r="AB104" s="42"/>
      <c r="AC104" s="42"/>
      <c r="AD104" s="42"/>
      <c r="AE104" s="42"/>
      <c r="AF104" s="42"/>
      <c r="AG104" s="45"/>
      <c r="BB104" s="32"/>
    </row>
    <row r="105" spans="1:54" ht="14.25" hidden="1" x14ac:dyDescent="0.2">
      <c r="A105" s="100" t="s">
        <v>140</v>
      </c>
      <c r="B105" s="54">
        <v>-0.38100000000000001</v>
      </c>
      <c r="C105" s="55"/>
      <c r="D105" s="55"/>
      <c r="E105" s="55"/>
      <c r="F105" s="55"/>
      <c r="G105" s="55"/>
      <c r="H105" s="55"/>
      <c r="I105" s="101"/>
      <c r="J105" s="101"/>
      <c r="K105" s="101"/>
      <c r="L105" s="101"/>
      <c r="M105" s="101"/>
      <c r="N105" s="102"/>
      <c r="O105" s="44"/>
      <c r="P105" s="839"/>
      <c r="Q105" s="839"/>
      <c r="R105" s="839"/>
      <c r="S105" s="42"/>
      <c r="T105" s="42"/>
      <c r="U105" s="42"/>
      <c r="V105" s="42"/>
      <c r="W105" s="42"/>
      <c r="X105" s="42"/>
      <c r="Y105" s="42"/>
      <c r="Z105" s="42"/>
      <c r="AA105" s="42"/>
      <c r="AB105" s="42"/>
      <c r="AC105" s="42"/>
      <c r="AD105" s="42"/>
      <c r="AE105" s="42"/>
      <c r="AF105" s="42"/>
      <c r="AG105" s="46"/>
      <c r="BB105" s="32"/>
    </row>
    <row r="106" spans="1:54" ht="15" hidden="1" customHeight="1" x14ac:dyDescent="0.2">
      <c r="A106" s="100" t="s">
        <v>141</v>
      </c>
      <c r="B106" s="54">
        <v>2.1499999999999998E-2</v>
      </c>
      <c r="C106" s="55"/>
      <c r="D106" s="55"/>
      <c r="E106" s="55"/>
      <c r="F106" s="55"/>
      <c r="G106" s="55"/>
      <c r="H106" s="55"/>
      <c r="I106" s="55"/>
      <c r="J106" s="55"/>
      <c r="K106" s="55"/>
      <c r="L106" s="55"/>
      <c r="M106" s="55"/>
      <c r="N106" s="51"/>
      <c r="O106" s="36"/>
      <c r="P106" s="839"/>
      <c r="Q106" s="839"/>
      <c r="R106" s="839"/>
      <c r="S106" s="42"/>
      <c r="T106" s="42"/>
      <c r="U106" s="42"/>
      <c r="V106" s="42"/>
      <c r="W106" s="42"/>
      <c r="X106" s="42"/>
      <c r="Y106" s="42"/>
      <c r="Z106" s="42"/>
      <c r="AA106" s="42"/>
      <c r="AB106" s="42"/>
      <c r="AC106" s="42"/>
      <c r="AD106" s="42"/>
      <c r="AE106" s="42"/>
      <c r="AF106" s="42"/>
      <c r="AG106" s="46"/>
      <c r="BB106" s="32"/>
    </row>
    <row r="107" spans="1:54" ht="13.5" hidden="1" thickBot="1" x14ac:dyDescent="0.25">
      <c r="A107" s="63"/>
      <c r="B107" s="64"/>
      <c r="C107" s="64"/>
      <c r="D107" s="64"/>
      <c r="E107" s="64"/>
      <c r="F107" s="64"/>
      <c r="G107" s="64"/>
      <c r="H107" s="64"/>
      <c r="I107" s="64"/>
      <c r="J107" s="64"/>
      <c r="K107" s="64"/>
      <c r="L107" s="64"/>
      <c r="M107" s="64"/>
      <c r="N107" s="66"/>
      <c r="O107" s="36"/>
      <c r="P107" s="839"/>
      <c r="Q107" s="839"/>
      <c r="R107" s="839"/>
      <c r="S107" s="42"/>
      <c r="T107" s="42"/>
      <c r="U107" s="42"/>
      <c r="V107" s="42"/>
      <c r="W107" s="42"/>
      <c r="X107" s="42"/>
      <c r="Y107" s="42"/>
      <c r="Z107" s="42"/>
      <c r="AA107" s="42"/>
      <c r="AB107" s="42"/>
      <c r="AC107" s="42"/>
      <c r="AD107" s="42"/>
      <c r="AE107" s="42"/>
      <c r="AF107" s="42"/>
      <c r="AG107" s="46"/>
      <c r="BB107" s="32"/>
    </row>
    <row r="108" spans="1:54" hidden="1" x14ac:dyDescent="0.2">
      <c r="A108" s="36"/>
      <c r="B108" s="36"/>
      <c r="C108" s="36"/>
      <c r="D108" s="36"/>
      <c r="E108" s="36"/>
      <c r="F108" s="36"/>
      <c r="G108" s="36"/>
      <c r="H108" s="36"/>
      <c r="I108" s="36"/>
      <c r="J108" s="36"/>
      <c r="K108" s="36"/>
      <c r="L108" s="36"/>
      <c r="M108" s="36"/>
      <c r="N108" s="36"/>
      <c r="O108" s="36"/>
      <c r="P108" s="839"/>
      <c r="Q108" s="839"/>
      <c r="R108" s="839"/>
      <c r="S108" s="42"/>
      <c r="T108" s="42"/>
      <c r="U108" s="42"/>
      <c r="V108" s="42"/>
      <c r="W108" s="42"/>
      <c r="X108" s="42"/>
      <c r="Y108" s="42"/>
      <c r="Z108" s="42"/>
      <c r="AA108" s="42"/>
      <c r="AB108" s="42"/>
      <c r="AC108" s="42"/>
      <c r="AD108" s="42"/>
      <c r="AE108" s="42"/>
      <c r="AF108" s="42"/>
      <c r="AG108" s="46"/>
      <c r="BB108" s="32"/>
    </row>
    <row r="109" spans="1:54" hidden="1" x14ac:dyDescent="0.2">
      <c r="A109" s="36"/>
      <c r="B109" s="36"/>
      <c r="C109" s="36"/>
      <c r="D109" s="36"/>
      <c r="E109" s="36"/>
      <c r="F109" s="36"/>
      <c r="G109" s="36"/>
      <c r="H109" s="36"/>
      <c r="I109" s="36"/>
      <c r="J109" s="36"/>
      <c r="K109" s="36"/>
      <c r="L109" s="36"/>
      <c r="M109" s="36"/>
      <c r="N109" s="36"/>
      <c r="O109" s="36"/>
      <c r="P109" s="839"/>
      <c r="Q109" s="839"/>
      <c r="R109" s="839"/>
      <c r="S109" s="42"/>
      <c r="T109" s="42"/>
      <c r="U109" s="42"/>
      <c r="V109" s="42"/>
      <c r="W109" s="42"/>
      <c r="X109" s="42"/>
      <c r="Y109" s="42"/>
      <c r="Z109" s="42"/>
      <c r="AA109" s="42"/>
      <c r="AB109" s="42"/>
      <c r="AC109" s="42"/>
      <c r="AD109" s="42"/>
      <c r="AE109" s="42"/>
      <c r="AF109" s="42"/>
      <c r="AG109" s="46"/>
      <c r="BB109" s="32"/>
    </row>
    <row r="110" spans="1:54" hidden="1" x14ac:dyDescent="0.2">
      <c r="A110" s="36"/>
      <c r="B110" s="36"/>
      <c r="C110" s="36"/>
      <c r="D110" s="36"/>
      <c r="E110" s="36"/>
      <c r="F110" s="36"/>
      <c r="G110" s="36"/>
      <c r="H110" s="36"/>
      <c r="I110" s="36"/>
      <c r="J110" s="36"/>
      <c r="K110" s="36"/>
      <c r="L110" s="36"/>
      <c r="M110" s="36"/>
      <c r="N110" s="36"/>
      <c r="O110" s="36"/>
      <c r="P110" s="839"/>
      <c r="Q110" s="839"/>
      <c r="R110" s="839"/>
      <c r="S110" s="42"/>
      <c r="T110" s="42"/>
      <c r="U110" s="42"/>
      <c r="V110" s="42"/>
      <c r="W110" s="42"/>
      <c r="X110" s="42"/>
      <c r="Y110" s="42"/>
      <c r="Z110" s="42"/>
      <c r="AA110" s="42"/>
      <c r="AB110" s="42"/>
      <c r="AC110" s="42"/>
      <c r="AD110" s="42"/>
      <c r="AE110" s="42"/>
      <c r="AF110" s="42"/>
      <c r="AG110" s="46"/>
      <c r="BB110" s="32"/>
    </row>
    <row r="111" spans="1:54" hidden="1" x14ac:dyDescent="0.2">
      <c r="A111" s="36"/>
      <c r="B111" s="36"/>
      <c r="C111" s="36"/>
      <c r="D111" s="36"/>
      <c r="E111" s="36"/>
      <c r="F111" s="36"/>
      <c r="G111" s="36"/>
      <c r="H111" s="36"/>
      <c r="I111" s="36"/>
      <c r="J111" s="36"/>
      <c r="K111" s="36"/>
      <c r="L111" s="36"/>
      <c r="M111" s="36"/>
      <c r="N111" s="36"/>
      <c r="O111" s="36"/>
      <c r="P111" s="839"/>
      <c r="Q111" s="839"/>
      <c r="R111" s="839"/>
      <c r="S111" s="42"/>
      <c r="T111" s="42"/>
      <c r="U111" s="42"/>
      <c r="V111" s="42"/>
      <c r="W111" s="42"/>
      <c r="X111" s="42"/>
      <c r="Y111" s="42"/>
      <c r="Z111" s="42"/>
      <c r="AA111" s="42"/>
      <c r="AB111" s="42"/>
      <c r="AC111" s="42"/>
      <c r="AD111" s="42"/>
      <c r="AE111" s="42"/>
      <c r="AF111" s="42"/>
      <c r="AG111" s="46"/>
      <c r="BB111" s="32"/>
    </row>
    <row r="112" spans="1:54" hidden="1" x14ac:dyDescent="0.2">
      <c r="A112" s="36"/>
      <c r="B112" s="36"/>
      <c r="C112" s="36"/>
      <c r="D112" s="36"/>
      <c r="E112" s="36"/>
      <c r="F112" s="36"/>
      <c r="G112" s="36"/>
      <c r="H112" s="36"/>
      <c r="I112" s="36"/>
      <c r="J112" s="36"/>
      <c r="K112" s="36"/>
      <c r="L112" s="36"/>
      <c r="M112" s="36"/>
      <c r="N112" s="36"/>
      <c r="O112" s="36"/>
      <c r="P112" s="839"/>
      <c r="Q112" s="839"/>
      <c r="R112" s="839"/>
      <c r="S112" s="42"/>
      <c r="T112" s="42"/>
      <c r="U112" s="42"/>
      <c r="V112" s="42"/>
      <c r="W112" s="42"/>
      <c r="X112" s="42"/>
      <c r="Y112" s="42"/>
      <c r="Z112" s="42"/>
      <c r="AA112" s="42"/>
      <c r="AB112" s="42"/>
      <c r="AC112" s="42"/>
      <c r="AD112" s="42"/>
      <c r="AE112" s="42"/>
      <c r="AF112" s="42"/>
      <c r="AG112" s="46"/>
      <c r="BB112" s="32"/>
    </row>
    <row r="113" spans="1:62" hidden="1" x14ac:dyDescent="0.2">
      <c r="A113" s="36"/>
      <c r="B113" s="36"/>
      <c r="C113" s="36"/>
      <c r="D113" s="36"/>
      <c r="E113" s="36"/>
      <c r="F113" s="36"/>
      <c r="G113" s="36"/>
      <c r="H113" s="36"/>
      <c r="I113" s="36"/>
      <c r="J113" s="36"/>
      <c r="K113" s="36"/>
      <c r="L113" s="36"/>
      <c r="M113" s="36"/>
      <c r="N113" s="36"/>
      <c r="O113" s="36"/>
      <c r="P113" s="839"/>
      <c r="Q113" s="839"/>
      <c r="R113" s="839"/>
      <c r="S113" s="42"/>
      <c r="T113" s="42"/>
      <c r="U113" s="42"/>
      <c r="V113" s="42"/>
      <c r="W113" s="42"/>
      <c r="X113" s="42"/>
      <c r="Y113" s="42"/>
      <c r="Z113" s="42"/>
      <c r="AA113" s="42"/>
      <c r="AB113" s="42"/>
      <c r="AC113" s="42"/>
      <c r="AD113" s="42"/>
      <c r="AE113" s="42"/>
      <c r="AF113" s="42"/>
      <c r="AG113" s="46"/>
      <c r="BB113" s="32"/>
    </row>
    <row r="114" spans="1:62" hidden="1" x14ac:dyDescent="0.2">
      <c r="A114" s="36"/>
      <c r="B114" s="36"/>
      <c r="C114" s="36"/>
      <c r="D114" s="36"/>
      <c r="E114" s="36"/>
      <c r="F114" s="36"/>
      <c r="G114" s="36"/>
      <c r="H114" s="36"/>
      <c r="I114" s="36"/>
      <c r="J114" s="36"/>
      <c r="K114" s="36"/>
      <c r="L114" s="36"/>
      <c r="M114" s="36"/>
      <c r="N114" s="36"/>
      <c r="O114" s="36"/>
      <c r="P114" s="839"/>
      <c r="Q114" s="839"/>
      <c r="R114" s="839"/>
      <c r="S114" s="42"/>
      <c r="T114" s="42"/>
      <c r="U114" s="42"/>
      <c r="V114" s="42"/>
      <c r="W114" s="42"/>
      <c r="X114" s="42"/>
      <c r="Y114" s="42"/>
      <c r="Z114" s="42"/>
      <c r="AA114" s="42"/>
      <c r="AB114" s="42"/>
      <c r="AC114" s="42"/>
      <c r="AD114" s="42"/>
      <c r="AE114" s="42"/>
      <c r="AF114" s="42"/>
      <c r="AG114" s="46"/>
      <c r="BB114" s="32"/>
    </row>
    <row r="115" spans="1:62" hidden="1" x14ac:dyDescent="0.2">
      <c r="A115" s="36"/>
      <c r="B115" s="36"/>
      <c r="C115" s="36"/>
      <c r="D115" s="36"/>
      <c r="E115" s="36"/>
      <c r="F115" s="36"/>
      <c r="G115" s="36"/>
      <c r="H115" s="36"/>
      <c r="I115" s="36"/>
      <c r="J115" s="36"/>
      <c r="K115" s="36"/>
      <c r="L115" s="36"/>
      <c r="M115" s="36"/>
      <c r="N115" s="36"/>
      <c r="O115" s="36"/>
      <c r="P115" s="839"/>
      <c r="Q115" s="839"/>
      <c r="R115" s="839"/>
      <c r="S115" s="42"/>
      <c r="T115" s="42"/>
      <c r="U115" s="42"/>
      <c r="V115" s="42"/>
      <c r="W115" s="42"/>
      <c r="X115" s="42"/>
      <c r="Y115" s="42"/>
      <c r="Z115" s="42"/>
      <c r="AA115" s="42"/>
      <c r="AB115" s="42"/>
      <c r="AC115" s="42"/>
      <c r="AD115" s="42"/>
      <c r="AE115" s="42"/>
      <c r="AF115" s="42"/>
      <c r="AG115" s="46"/>
      <c r="BB115" s="32"/>
    </row>
    <row r="116" spans="1:62" hidden="1" x14ac:dyDescent="0.2">
      <c r="A116" s="36"/>
      <c r="B116" s="36"/>
      <c r="C116" s="36"/>
      <c r="D116" s="36"/>
      <c r="E116" s="36"/>
      <c r="F116" s="36"/>
      <c r="G116" s="36"/>
      <c r="H116" s="36"/>
      <c r="I116" s="36"/>
      <c r="J116" s="36"/>
      <c r="K116" s="36"/>
      <c r="L116" s="36"/>
      <c r="M116" s="36"/>
      <c r="N116" s="36"/>
      <c r="O116" s="36"/>
      <c r="P116" s="839"/>
      <c r="Q116" s="839"/>
      <c r="R116" s="839"/>
      <c r="S116" s="42"/>
      <c r="T116" s="42"/>
      <c r="U116" s="42"/>
      <c r="V116" s="42"/>
      <c r="W116" s="42"/>
      <c r="X116" s="42"/>
      <c r="Y116" s="42"/>
      <c r="Z116" s="42"/>
      <c r="AA116" s="42"/>
      <c r="AB116" s="42"/>
      <c r="AC116" s="42"/>
      <c r="AD116" s="42"/>
      <c r="AE116" s="42"/>
      <c r="AF116" s="42"/>
      <c r="AG116" s="46"/>
      <c r="BB116" s="32"/>
    </row>
    <row r="117" spans="1:62" hidden="1" x14ac:dyDescent="0.2">
      <c r="A117" s="36"/>
      <c r="B117" s="36"/>
      <c r="C117" s="36"/>
      <c r="D117" s="36"/>
      <c r="E117" s="36"/>
      <c r="F117" s="36"/>
      <c r="G117" s="36"/>
      <c r="H117" s="36"/>
      <c r="I117" s="36"/>
      <c r="J117" s="36"/>
      <c r="K117" s="36"/>
      <c r="L117" s="36"/>
      <c r="M117" s="36"/>
      <c r="N117" s="36"/>
      <c r="O117" s="36"/>
      <c r="P117" s="839"/>
      <c r="Q117" s="839"/>
      <c r="R117" s="839"/>
      <c r="S117" s="42"/>
      <c r="T117" s="42"/>
      <c r="U117" s="42"/>
      <c r="V117" s="42"/>
      <c r="W117" s="42"/>
      <c r="X117" s="42"/>
      <c r="Y117" s="42"/>
      <c r="Z117" s="42"/>
      <c r="AA117" s="42"/>
      <c r="AB117" s="42"/>
      <c r="AC117" s="42"/>
      <c r="AD117" s="42"/>
      <c r="AE117" s="42"/>
      <c r="AF117" s="42"/>
      <c r="AG117" s="46"/>
      <c r="BB117" s="32"/>
    </row>
    <row r="118" spans="1:62" hidden="1" x14ac:dyDescent="0.2">
      <c r="A118" s="36"/>
      <c r="B118" s="36"/>
      <c r="C118" s="36"/>
      <c r="D118" s="36"/>
      <c r="E118" s="36"/>
      <c r="F118" s="36"/>
      <c r="G118" s="36"/>
      <c r="H118" s="36"/>
      <c r="I118" s="36"/>
      <c r="J118" s="36"/>
      <c r="K118" s="36"/>
      <c r="L118" s="36"/>
      <c r="M118" s="36"/>
      <c r="N118" s="36"/>
      <c r="O118" s="36"/>
      <c r="P118" s="839"/>
      <c r="Q118" s="839"/>
      <c r="R118" s="839"/>
      <c r="S118" s="42"/>
      <c r="T118" s="42"/>
      <c r="U118" s="42"/>
      <c r="V118" s="42"/>
      <c r="W118" s="42"/>
      <c r="X118" s="42"/>
      <c r="Y118" s="42"/>
      <c r="Z118" s="42"/>
      <c r="AA118" s="42"/>
      <c r="AB118" s="42"/>
      <c r="AC118" s="42"/>
      <c r="AD118" s="42"/>
      <c r="AE118" s="42"/>
      <c r="AF118" s="42"/>
      <c r="AG118" s="46"/>
      <c r="BB118" s="32"/>
    </row>
    <row r="119" spans="1:62" hidden="1" x14ac:dyDescent="0.2">
      <c r="A119" s="36"/>
      <c r="B119" s="36"/>
      <c r="C119" s="36"/>
      <c r="D119" s="36"/>
      <c r="E119" s="36"/>
      <c r="F119" s="36"/>
      <c r="G119" s="36"/>
      <c r="H119" s="36"/>
      <c r="I119" s="36"/>
      <c r="J119" s="36"/>
      <c r="K119" s="36"/>
      <c r="L119" s="36"/>
      <c r="M119" s="36"/>
      <c r="N119" s="36"/>
      <c r="O119" s="36"/>
      <c r="P119" s="839"/>
      <c r="Q119" s="839"/>
      <c r="R119" s="839"/>
      <c r="S119" s="42"/>
      <c r="T119" s="42"/>
      <c r="U119" s="42"/>
      <c r="V119" s="42"/>
      <c r="W119" s="42"/>
      <c r="X119" s="42"/>
      <c r="Y119" s="42"/>
      <c r="Z119" s="42"/>
      <c r="AA119" s="42"/>
      <c r="AB119" s="42"/>
      <c r="AC119" s="42"/>
      <c r="AD119" s="42"/>
      <c r="AE119" s="42"/>
      <c r="AF119" s="42"/>
      <c r="AG119" s="46"/>
      <c r="BB119" s="32"/>
    </row>
    <row r="120" spans="1:62" hidden="1" x14ac:dyDescent="0.2">
      <c r="A120" s="36"/>
      <c r="B120" s="36"/>
      <c r="C120" s="36"/>
      <c r="D120" s="36"/>
      <c r="E120" s="36"/>
      <c r="F120" s="36"/>
      <c r="G120" s="36"/>
      <c r="H120" s="36"/>
      <c r="I120" s="36"/>
      <c r="J120" s="36"/>
      <c r="K120" s="36"/>
      <c r="L120" s="36"/>
      <c r="M120" s="36"/>
      <c r="N120" s="36"/>
      <c r="O120" s="36"/>
      <c r="P120" s="839"/>
      <c r="Q120" s="839"/>
      <c r="R120" s="839"/>
      <c r="S120" s="42"/>
      <c r="T120" s="42"/>
      <c r="U120" s="42"/>
      <c r="V120" s="42"/>
      <c r="W120" s="42"/>
      <c r="X120" s="42"/>
      <c r="Y120" s="42"/>
      <c r="Z120" s="42"/>
      <c r="AA120" s="42"/>
      <c r="AB120" s="42"/>
      <c r="AC120" s="42"/>
      <c r="AD120" s="42"/>
      <c r="AE120" s="42"/>
      <c r="AF120" s="42"/>
      <c r="AG120" s="46"/>
      <c r="BB120" s="32"/>
    </row>
    <row r="121" spans="1:62" hidden="1" x14ac:dyDescent="0.2">
      <c r="A121" s="36"/>
      <c r="B121" s="36"/>
      <c r="C121" s="36"/>
      <c r="D121" s="36"/>
      <c r="E121" s="36"/>
      <c r="F121" s="36"/>
      <c r="G121" s="36"/>
      <c r="H121" s="36"/>
      <c r="I121" s="36"/>
      <c r="J121" s="36"/>
      <c r="K121" s="36"/>
      <c r="L121" s="36"/>
      <c r="M121" s="36"/>
      <c r="N121" s="36"/>
      <c r="O121" s="36"/>
      <c r="P121" s="839"/>
      <c r="Q121" s="839"/>
      <c r="R121" s="839"/>
      <c r="S121" s="42"/>
      <c r="T121" s="42"/>
      <c r="U121" s="42"/>
      <c r="V121" s="42"/>
      <c r="W121" s="42"/>
      <c r="X121" s="42"/>
      <c r="Y121" s="42"/>
      <c r="Z121" s="42"/>
      <c r="AA121" s="42"/>
      <c r="AB121" s="42"/>
      <c r="AC121" s="42"/>
      <c r="AD121" s="42"/>
      <c r="AE121" s="42"/>
      <c r="AF121" s="42"/>
      <c r="BB121" s="32"/>
    </row>
    <row r="122" spans="1:62" hidden="1" x14ac:dyDescent="0.2">
      <c r="A122" s="36"/>
      <c r="B122" s="36"/>
      <c r="C122" s="36"/>
      <c r="D122" s="36"/>
      <c r="E122" s="36"/>
      <c r="F122" s="36"/>
      <c r="G122" s="36"/>
      <c r="H122" s="36"/>
      <c r="I122" s="36"/>
      <c r="J122" s="36"/>
      <c r="K122" s="36"/>
      <c r="L122" s="36"/>
      <c r="M122" s="36"/>
      <c r="N122" s="36"/>
      <c r="O122" s="36"/>
      <c r="P122" s="839"/>
      <c r="Q122" s="839"/>
      <c r="R122" s="839"/>
      <c r="S122" s="42"/>
      <c r="T122" s="42"/>
      <c r="U122" s="42"/>
      <c r="V122" s="42"/>
      <c r="W122" s="42"/>
      <c r="X122" s="42"/>
      <c r="Y122" s="42"/>
      <c r="Z122" s="42"/>
      <c r="AA122" s="42"/>
      <c r="AB122" s="42"/>
      <c r="AC122" s="42"/>
      <c r="AD122" s="42"/>
      <c r="AE122" s="42"/>
      <c r="AF122" s="42"/>
      <c r="BB122" s="32"/>
    </row>
    <row r="123" spans="1:62" hidden="1" x14ac:dyDescent="0.2">
      <c r="A123" s="36"/>
      <c r="B123" s="36"/>
      <c r="C123" s="36"/>
      <c r="D123" s="36"/>
      <c r="E123" s="36"/>
      <c r="F123" s="36"/>
      <c r="G123" s="36"/>
      <c r="H123" s="36"/>
      <c r="I123" s="36"/>
      <c r="J123" s="36"/>
      <c r="K123" s="36"/>
      <c r="L123" s="36"/>
      <c r="M123" s="36"/>
      <c r="N123" s="36"/>
      <c r="O123" s="36"/>
      <c r="P123" s="839"/>
      <c r="Q123" s="839"/>
      <c r="R123" s="839"/>
      <c r="S123" s="42"/>
      <c r="T123" s="42"/>
      <c r="U123" s="42"/>
      <c r="V123" s="42"/>
      <c r="W123" s="42"/>
      <c r="X123" s="42"/>
      <c r="Y123" s="42"/>
      <c r="Z123" s="42"/>
      <c r="AA123" s="42"/>
      <c r="AB123" s="42"/>
      <c r="AC123" s="42"/>
      <c r="AD123" s="42"/>
      <c r="AE123" s="42"/>
      <c r="AF123" s="42"/>
      <c r="BB123" s="32"/>
    </row>
    <row r="124" spans="1:62" hidden="1" x14ac:dyDescent="0.2">
      <c r="A124" s="36"/>
      <c r="B124" s="36"/>
      <c r="C124" s="36"/>
      <c r="D124" s="36"/>
      <c r="E124" s="36"/>
      <c r="F124" s="36"/>
      <c r="G124" s="36"/>
      <c r="H124" s="36"/>
      <c r="I124" s="36"/>
      <c r="J124" s="36"/>
      <c r="K124" s="36"/>
      <c r="L124" s="36"/>
      <c r="M124" s="36"/>
      <c r="N124" s="36"/>
      <c r="O124" s="36"/>
      <c r="P124" s="839"/>
      <c r="Q124" s="839"/>
      <c r="R124" s="839"/>
      <c r="S124" s="42"/>
      <c r="T124" s="42"/>
      <c r="U124" s="42"/>
      <c r="V124" s="42"/>
      <c r="W124" s="42"/>
      <c r="X124" s="42"/>
      <c r="Y124" s="42"/>
      <c r="Z124" s="42"/>
      <c r="AA124" s="42"/>
      <c r="AB124" s="42"/>
      <c r="AC124" s="42"/>
      <c r="AD124" s="42"/>
      <c r="AE124" s="42"/>
      <c r="AF124" s="42"/>
      <c r="BB124" s="32"/>
    </row>
    <row r="125" spans="1:62" hidden="1" x14ac:dyDescent="0.2">
      <c r="A125" s="36"/>
      <c r="B125" s="36"/>
      <c r="C125" s="36"/>
      <c r="D125" s="36"/>
      <c r="E125" s="36"/>
      <c r="F125" s="36"/>
      <c r="G125" s="36"/>
      <c r="H125" s="36"/>
      <c r="I125" s="36"/>
      <c r="J125" s="36"/>
      <c r="K125" s="36"/>
      <c r="L125" s="36"/>
      <c r="M125" s="36"/>
      <c r="N125" s="36"/>
      <c r="O125" s="36"/>
      <c r="P125" s="839"/>
      <c r="Q125" s="839"/>
      <c r="R125" s="839"/>
      <c r="S125" s="42"/>
      <c r="T125" s="42"/>
      <c r="U125" s="42"/>
      <c r="V125" s="42"/>
      <c r="W125" s="42"/>
      <c r="X125" s="42"/>
      <c r="Y125" s="42"/>
      <c r="Z125" s="42"/>
      <c r="AA125" s="42"/>
      <c r="AB125" s="42"/>
      <c r="AC125" s="42"/>
      <c r="AD125" s="42"/>
      <c r="AE125" s="42"/>
      <c r="AF125" s="42"/>
      <c r="BB125" s="32"/>
    </row>
    <row r="126" spans="1:62" hidden="1" x14ac:dyDescent="0.2">
      <c r="P126" s="839"/>
      <c r="Q126" s="839"/>
      <c r="R126" s="839"/>
      <c r="S126" s="42"/>
      <c r="T126" s="42"/>
      <c r="U126" s="42"/>
      <c r="V126" s="42"/>
      <c r="W126" s="42"/>
      <c r="X126" s="42"/>
      <c r="Y126" s="42"/>
      <c r="Z126" s="42"/>
      <c r="AA126" s="42"/>
      <c r="AB126" s="42"/>
      <c r="AC126" s="42"/>
      <c r="AD126" s="42"/>
      <c r="AE126" s="42"/>
      <c r="AF126" s="42"/>
      <c r="BB126" s="32"/>
      <c r="BJ126" s="47"/>
    </row>
    <row r="127" spans="1:62" x14ac:dyDescent="0.2">
      <c r="P127" s="839"/>
      <c r="Q127" s="839"/>
      <c r="R127" s="839"/>
      <c r="S127" s="42"/>
      <c r="T127" s="42"/>
      <c r="U127" s="42"/>
      <c r="V127" s="42"/>
      <c r="W127" s="42"/>
      <c r="X127" s="42"/>
      <c r="Y127" s="42"/>
      <c r="Z127" s="42"/>
      <c r="AA127" s="42"/>
      <c r="AB127" s="42"/>
      <c r="AC127" s="42"/>
      <c r="AD127" s="42"/>
      <c r="AE127" s="42"/>
      <c r="AF127" s="42"/>
      <c r="BB127" s="32"/>
      <c r="BJ127" s="47"/>
    </row>
    <row r="128" spans="1:62" x14ac:dyDescent="0.2">
      <c r="P128" s="839"/>
      <c r="Q128" s="839"/>
      <c r="R128" s="839"/>
      <c r="S128" s="42"/>
      <c r="T128" s="42"/>
      <c r="U128" s="42"/>
      <c r="V128" s="42"/>
      <c r="W128" s="42"/>
      <c r="X128" s="42"/>
      <c r="Y128" s="42"/>
      <c r="Z128" s="42"/>
      <c r="AA128" s="42"/>
      <c r="AB128" s="42"/>
      <c r="AC128" s="42"/>
      <c r="AD128" s="42"/>
      <c r="AE128" s="42"/>
      <c r="AF128" s="42"/>
      <c r="BB128" s="32"/>
      <c r="BJ128" s="47"/>
    </row>
    <row r="129" spans="16:62" x14ac:dyDescent="0.2">
      <c r="P129" s="839"/>
      <c r="Q129" s="839"/>
      <c r="R129" s="839"/>
      <c r="S129" s="42"/>
      <c r="T129" s="42"/>
      <c r="U129" s="42"/>
      <c r="V129" s="42"/>
      <c r="W129" s="42"/>
      <c r="X129" s="42"/>
      <c r="Y129" s="42"/>
      <c r="Z129" s="42"/>
      <c r="AA129" s="42"/>
      <c r="AB129" s="42"/>
      <c r="AC129" s="42"/>
      <c r="AD129" s="42"/>
      <c r="AE129" s="42"/>
      <c r="AF129" s="42"/>
      <c r="BB129" s="32"/>
      <c r="BJ129" s="47"/>
    </row>
    <row r="130" spans="16:62" x14ac:dyDescent="0.2">
      <c r="P130" s="839"/>
      <c r="Q130" s="839"/>
      <c r="R130" s="839"/>
      <c r="S130" s="42"/>
      <c r="T130" s="42"/>
      <c r="U130" s="42"/>
      <c r="V130" s="42"/>
      <c r="W130" s="42"/>
      <c r="X130" s="42"/>
      <c r="Y130" s="42"/>
      <c r="Z130" s="42"/>
      <c r="AA130" s="42"/>
      <c r="AB130" s="42"/>
      <c r="AC130" s="42"/>
      <c r="AD130" s="42"/>
      <c r="AE130" s="42"/>
      <c r="AF130" s="42"/>
      <c r="BB130" s="32"/>
      <c r="BJ130" s="47"/>
    </row>
    <row r="131" spans="16:62" x14ac:dyDescent="0.2">
      <c r="P131" s="839"/>
      <c r="Q131" s="839"/>
      <c r="R131" s="839"/>
      <c r="S131" s="42"/>
      <c r="T131" s="42"/>
      <c r="U131" s="42"/>
      <c r="V131" s="42"/>
      <c r="W131" s="42"/>
      <c r="X131" s="42"/>
      <c r="Y131" s="42"/>
      <c r="Z131" s="42"/>
      <c r="AA131" s="42"/>
      <c r="AB131" s="42"/>
      <c r="AC131" s="42"/>
      <c r="AD131" s="42"/>
      <c r="AE131" s="42"/>
      <c r="AF131" s="42"/>
      <c r="BB131" s="32"/>
      <c r="BJ131" s="47"/>
    </row>
    <row r="132" spans="16:62" x14ac:dyDescent="0.2">
      <c r="P132" s="839"/>
      <c r="Q132" s="839"/>
      <c r="R132" s="839"/>
      <c r="S132" s="42"/>
      <c r="T132" s="42"/>
      <c r="U132" s="42"/>
      <c r="V132" s="42"/>
      <c r="W132" s="42"/>
      <c r="X132" s="42"/>
      <c r="Y132" s="42"/>
      <c r="Z132" s="42"/>
      <c r="AA132" s="42"/>
      <c r="AB132" s="42"/>
      <c r="AC132" s="42"/>
      <c r="AD132" s="42"/>
      <c r="AE132" s="42"/>
      <c r="AF132" s="42"/>
      <c r="BB132" s="32"/>
      <c r="BJ132" s="47"/>
    </row>
    <row r="133" spans="16:62" x14ac:dyDescent="0.2">
      <c r="P133" s="839"/>
      <c r="Q133" s="839"/>
      <c r="R133" s="839"/>
      <c r="S133" s="42"/>
      <c r="T133" s="42"/>
      <c r="U133" s="42"/>
      <c r="V133" s="42"/>
      <c r="W133" s="42"/>
      <c r="X133" s="42"/>
      <c r="Y133" s="42"/>
      <c r="Z133" s="42"/>
      <c r="AA133" s="42"/>
      <c r="AB133" s="42"/>
      <c r="AC133" s="42"/>
      <c r="AD133" s="42"/>
      <c r="AE133" s="42"/>
      <c r="AF133" s="42"/>
      <c r="BB133" s="32"/>
      <c r="BJ133" s="47"/>
    </row>
    <row r="134" spans="16:62" x14ac:dyDescent="0.2">
      <c r="P134" s="839"/>
      <c r="Q134" s="839"/>
      <c r="R134" s="839"/>
      <c r="S134" s="42"/>
      <c r="T134" s="42"/>
      <c r="U134" s="42"/>
      <c r="V134" s="42"/>
      <c r="W134" s="42"/>
      <c r="X134" s="42"/>
      <c r="Y134" s="42"/>
      <c r="Z134" s="42"/>
      <c r="AA134" s="42"/>
      <c r="AB134" s="42"/>
      <c r="AC134" s="42"/>
      <c r="AD134" s="42"/>
      <c r="AE134" s="42"/>
      <c r="AF134" s="42"/>
      <c r="BB134" s="32"/>
      <c r="BJ134" s="47"/>
    </row>
    <row r="135" spans="16:62" x14ac:dyDescent="0.2">
      <c r="P135" s="839"/>
      <c r="Q135" s="839"/>
      <c r="R135" s="839"/>
      <c r="S135" s="42"/>
      <c r="T135" s="42"/>
      <c r="U135" s="42"/>
      <c r="V135" s="42"/>
      <c r="W135" s="42"/>
      <c r="X135" s="42"/>
      <c r="Y135" s="42"/>
      <c r="Z135" s="42"/>
      <c r="AA135" s="42"/>
      <c r="AB135" s="42"/>
      <c r="AC135" s="42"/>
      <c r="AD135" s="42"/>
      <c r="AE135" s="42"/>
      <c r="AF135" s="42"/>
      <c r="BB135" s="32"/>
      <c r="BJ135" s="47"/>
    </row>
    <row r="136" spans="16:62" x14ac:dyDescent="0.2">
      <c r="P136" s="839"/>
      <c r="Q136" s="839"/>
      <c r="R136" s="839"/>
      <c r="S136" s="42"/>
      <c r="T136" s="42"/>
      <c r="U136" s="42"/>
      <c r="V136" s="42"/>
      <c r="W136" s="42"/>
      <c r="X136" s="42"/>
      <c r="Y136" s="42"/>
      <c r="Z136" s="42"/>
      <c r="AA136" s="42"/>
      <c r="AB136" s="42"/>
      <c r="AC136" s="42"/>
      <c r="AD136" s="42"/>
      <c r="AE136" s="42"/>
      <c r="AF136" s="42"/>
      <c r="BB136" s="32"/>
      <c r="BJ136" s="47"/>
    </row>
    <row r="137" spans="16:62" x14ac:dyDescent="0.2">
      <c r="P137" s="839"/>
      <c r="Q137" s="839"/>
      <c r="R137" s="839"/>
      <c r="S137" s="42"/>
      <c r="T137" s="42"/>
      <c r="U137" s="42"/>
      <c r="V137" s="42"/>
      <c r="W137" s="42"/>
      <c r="X137" s="42"/>
      <c r="Y137" s="42"/>
      <c r="Z137" s="42"/>
      <c r="AA137" s="42"/>
      <c r="AB137" s="42"/>
      <c r="AC137" s="42"/>
      <c r="AD137" s="42"/>
      <c r="AE137" s="42"/>
      <c r="AF137" s="42"/>
      <c r="BB137" s="32"/>
      <c r="BJ137" s="47"/>
    </row>
    <row r="138" spans="16:62" x14ac:dyDescent="0.2">
      <c r="P138" s="839"/>
      <c r="Q138" s="839"/>
      <c r="R138" s="839"/>
      <c r="S138" s="42"/>
      <c r="T138" s="42"/>
      <c r="U138" s="42"/>
      <c r="V138" s="42"/>
      <c r="W138" s="42"/>
      <c r="X138" s="42"/>
      <c r="Y138" s="42"/>
      <c r="Z138" s="42"/>
      <c r="AA138" s="42"/>
      <c r="AB138" s="42"/>
      <c r="AC138" s="42"/>
      <c r="AD138" s="42"/>
      <c r="AE138" s="42"/>
      <c r="AF138" s="42"/>
      <c r="BB138" s="32"/>
      <c r="BJ138" s="47"/>
    </row>
    <row r="139" spans="16:62" x14ac:dyDescent="0.2">
      <c r="P139" s="839"/>
      <c r="Q139" s="839"/>
      <c r="R139" s="839"/>
      <c r="S139" s="42"/>
      <c r="T139" s="42"/>
      <c r="U139" s="42"/>
      <c r="V139" s="42"/>
      <c r="W139" s="42"/>
      <c r="X139" s="42"/>
      <c r="Y139" s="42"/>
      <c r="Z139" s="42"/>
      <c r="AA139" s="42"/>
      <c r="AB139" s="42"/>
      <c r="AC139" s="42"/>
      <c r="AD139" s="42"/>
      <c r="AE139" s="42"/>
      <c r="AF139" s="42"/>
      <c r="BB139" s="32"/>
      <c r="BJ139" s="47"/>
    </row>
    <row r="140" spans="16:62" x14ac:dyDescent="0.2">
      <c r="P140" s="839"/>
      <c r="Q140" s="839"/>
      <c r="R140" s="839"/>
      <c r="S140" s="42"/>
      <c r="T140" s="42"/>
      <c r="U140" s="42"/>
      <c r="V140" s="42"/>
      <c r="W140" s="42"/>
      <c r="X140" s="42"/>
      <c r="Y140" s="42"/>
      <c r="Z140" s="42"/>
      <c r="AA140" s="42"/>
      <c r="AB140" s="42"/>
      <c r="AC140" s="42"/>
      <c r="AD140" s="42"/>
      <c r="AE140" s="42"/>
      <c r="AF140" s="42"/>
      <c r="BB140" s="32"/>
      <c r="BJ140" s="47"/>
    </row>
    <row r="141" spans="16:62" x14ac:dyDescent="0.2">
      <c r="P141" s="839"/>
      <c r="Q141" s="839"/>
      <c r="R141" s="839"/>
      <c r="S141" s="42"/>
      <c r="T141" s="42"/>
      <c r="U141" s="42"/>
      <c r="V141" s="42"/>
      <c r="W141" s="42"/>
      <c r="X141" s="42"/>
      <c r="Y141" s="42"/>
      <c r="Z141" s="42"/>
      <c r="AA141" s="42"/>
      <c r="AB141" s="42"/>
      <c r="AC141" s="42"/>
      <c r="AD141" s="42"/>
      <c r="AE141" s="42"/>
      <c r="AF141" s="42"/>
      <c r="BB141" s="32"/>
      <c r="BJ141" s="47"/>
    </row>
    <row r="142" spans="16:62" x14ac:dyDescent="0.2">
      <c r="P142" s="839"/>
      <c r="Q142" s="839"/>
      <c r="R142" s="839"/>
      <c r="S142" s="42"/>
      <c r="T142" s="42"/>
      <c r="U142" s="42"/>
      <c r="V142" s="42"/>
      <c r="W142" s="42"/>
      <c r="X142" s="42"/>
      <c r="Y142" s="42"/>
      <c r="Z142" s="42"/>
      <c r="AA142" s="42"/>
      <c r="AB142" s="42"/>
      <c r="AC142" s="42"/>
      <c r="AD142" s="42"/>
      <c r="AE142" s="42"/>
      <c r="AF142" s="42"/>
      <c r="BB142" s="32"/>
      <c r="BJ142" s="47"/>
    </row>
    <row r="143" spans="16:62" x14ac:dyDescent="0.2">
      <c r="BB143" s="32"/>
      <c r="BJ143" s="47"/>
    </row>
    <row r="144" spans="16:62" x14ac:dyDescent="0.2">
      <c r="BJ144" s="47"/>
    </row>
    <row r="145" spans="62:62" x14ac:dyDescent="0.2">
      <c r="BJ145" s="47"/>
    </row>
    <row r="146" spans="62:62" x14ac:dyDescent="0.2">
      <c r="BJ146" s="47"/>
    </row>
    <row r="147" spans="62:62" x14ac:dyDescent="0.2">
      <c r="BJ147" s="47"/>
    </row>
    <row r="148" spans="62:62" x14ac:dyDescent="0.2">
      <c r="BJ148" s="47"/>
    </row>
    <row r="149" spans="62:62" x14ac:dyDescent="0.2">
      <c r="BJ149" s="47"/>
    </row>
    <row r="150" spans="62:62" x14ac:dyDescent="0.2">
      <c r="BJ150" s="47"/>
    </row>
    <row r="151" spans="62:62" x14ac:dyDescent="0.2">
      <c r="BJ151" s="47"/>
    </row>
    <row r="152" spans="62:62" x14ac:dyDescent="0.2">
      <c r="BJ152" s="47"/>
    </row>
    <row r="153" spans="62:62" x14ac:dyDescent="0.2">
      <c r="BJ153" s="47"/>
    </row>
    <row r="154" spans="62:62" x14ac:dyDescent="0.2">
      <c r="BJ154" s="47"/>
    </row>
    <row r="155" spans="62:62" x14ac:dyDescent="0.2">
      <c r="BJ155" s="47"/>
    </row>
  </sheetData>
  <sheetProtection password="C1BB" sheet="1" objects="1" scenarios="1" selectLockedCells="1"/>
  <mergeCells count="13">
    <mergeCell ref="K37:L37"/>
    <mergeCell ref="K38:L38"/>
    <mergeCell ref="A30:E30"/>
    <mergeCell ref="A29:B29"/>
    <mergeCell ref="A28:B28"/>
    <mergeCell ref="N37:N38"/>
    <mergeCell ref="A1:O1"/>
    <mergeCell ref="K2:O2"/>
    <mergeCell ref="K3:O3"/>
    <mergeCell ref="F3:I3"/>
    <mergeCell ref="B2:I2"/>
    <mergeCell ref="O37:O38"/>
    <mergeCell ref="F28:I28"/>
  </mergeCells>
  <phoneticPr fontId="87" type="noConversion"/>
  <conditionalFormatting sqref="C28:E28">
    <cfRule type="cellIs" dxfId="0" priority="1" stopIfTrue="1" operator="notEqual">
      <formula>100</formula>
    </cfRule>
  </conditionalFormatting>
  <dataValidations count="10">
    <dataValidation type="whole" allowBlank="1" showInputMessage="1" showErrorMessage="1" error="number of days 0 to 30" sqref="C29">
      <formula1>0</formula1>
      <formula2>100</formula2>
    </dataValidation>
    <dataValidation type="list" allowBlank="1" showInputMessage="1" showErrorMessage="1" sqref="B23:B25">
      <formula1>$U$4:$Z$4</formula1>
    </dataValidation>
    <dataValidation type="decimal" allowBlank="1" showInputMessage="1" showErrorMessage="1" error="0 to 100 % allowed_x000a_" sqref="D5:E27 C5:C6 C8:C27">
      <formula1>0</formula1>
      <formula2>100</formula2>
    </dataValidation>
    <dataValidation type="list" allowBlank="1" showInputMessage="1" showErrorMessage="1" sqref="B26:B27">
      <formula1>$AA$4:$AE$4</formula1>
    </dataValidation>
    <dataValidation type="decimal" errorStyle="warning" allowBlank="1" showInputMessage="1" showErrorMessage="1" error="0 to 100 % allowed_x000a_" sqref="C7">
      <formula1>0</formula1>
      <formula2>100</formula2>
    </dataValidation>
    <dataValidation type="whole" allowBlank="1" showInputMessage="1" showErrorMessage="1" sqref="D29">
      <formula1>0</formula1>
      <formula2>100</formula2>
    </dataValidation>
    <dataValidation type="list" allowBlank="1" showInputMessage="1" showErrorMessage="1" sqref="B5:B9">
      <formula1>$U$2:$AE$2</formula1>
    </dataValidation>
    <dataValidation type="list" allowBlank="1" showInputMessage="1" showErrorMessage="1" sqref="B10:B12">
      <formula1>$U$3:$AE$3</formula1>
    </dataValidation>
    <dataValidation type="list" allowBlank="1" showInputMessage="1" showErrorMessage="1" sqref="B13:B18">
      <formula1>$U$5:$AE$5</formula1>
    </dataValidation>
    <dataValidation type="list" allowBlank="1" showInputMessage="1" showErrorMessage="1" sqref="B19:B22">
      <formula1>$U$6:$AE$6</formula1>
    </dataValidation>
  </dataValidations>
  <pageMargins left="0.39370078740157477" right="0.39370078740157477" top="0.39370078740157477" bottom="0.39370078740157477" header="0.19685039370078738" footer="0.19685039370078738"/>
  <pageSetup paperSize="9" scale="69" orientation="landscape" blackAndWhite="1" horizontalDpi="4294967293" r:id="rId1"/>
  <headerFooter alignWithMargins="0"/>
  <drawing r:id="rId2"/>
  <legacyDrawing r:id="rId3"/>
  <controls>
    <mc:AlternateContent xmlns:mc="http://schemas.openxmlformats.org/markup-compatibility/2006">
      <mc:Choice Requires="x14">
        <control shapeId="28699" r:id="rId4" name="CommandButton5">
          <controlPr defaultSize="0" autoLine="0" r:id="rId5">
            <anchor moveWithCells="1">
              <from>
                <xdr:col>5</xdr:col>
                <xdr:colOff>228600</xdr:colOff>
                <xdr:row>27</xdr:row>
                <xdr:rowOff>152400</xdr:rowOff>
              </from>
              <to>
                <xdr:col>9</xdr:col>
                <xdr:colOff>95250</xdr:colOff>
                <xdr:row>30</xdr:row>
                <xdr:rowOff>142875</xdr:rowOff>
              </to>
            </anchor>
          </controlPr>
        </control>
      </mc:Choice>
      <mc:Fallback>
        <control shapeId="28699" r:id="rId4" name="CommandButton5"/>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IF108"/>
  <sheetViews>
    <sheetView topLeftCell="A31" zoomScale="80" workbookViewId="0">
      <selection activeCell="B16" sqref="B16"/>
    </sheetView>
  </sheetViews>
  <sheetFormatPr defaultRowHeight="12.75" x14ac:dyDescent="0.2"/>
  <cols>
    <col min="1" max="1" width="28.140625" style="397" customWidth="1"/>
    <col min="2" max="2" width="13.28515625" style="119" customWidth="1"/>
    <col min="3" max="3" width="12.85546875" style="119" customWidth="1"/>
    <col min="4" max="4" width="15.28515625" style="119" customWidth="1"/>
    <col min="5" max="5" width="14.85546875" style="119" customWidth="1"/>
    <col min="6" max="6" width="13.7109375" style="119" customWidth="1"/>
    <col min="7" max="7" width="12" style="119" customWidth="1"/>
    <col min="8" max="8" width="15.28515625" style="119" customWidth="1"/>
    <col min="9" max="9" width="17.42578125" style="119" customWidth="1"/>
    <col min="10" max="10" width="16.5703125" style="119" customWidth="1"/>
    <col min="11" max="11" width="25" style="119" customWidth="1"/>
    <col min="12" max="12" width="18.7109375" style="119" customWidth="1"/>
    <col min="13" max="13" width="9.140625" style="119"/>
    <col min="14" max="14" width="11.42578125" style="119" customWidth="1"/>
    <col min="15" max="17" width="9.140625" style="119"/>
    <col min="18" max="18" width="12.28515625" style="119" customWidth="1"/>
    <col min="19" max="16384" width="9.140625" style="119"/>
  </cols>
  <sheetData>
    <row r="1" spans="1:18" x14ac:dyDescent="0.2">
      <c r="A1" s="380" t="s">
        <v>419</v>
      </c>
      <c r="B1" s="132"/>
      <c r="C1" s="132"/>
      <c r="D1" s="132"/>
      <c r="E1" s="132"/>
      <c r="F1" s="132"/>
      <c r="G1" s="132"/>
      <c r="H1" s="132"/>
      <c r="I1" s="132"/>
      <c r="J1" s="132"/>
      <c r="K1" s="132"/>
      <c r="L1" s="132"/>
      <c r="M1" s="132"/>
      <c r="N1" s="132"/>
      <c r="O1" s="132"/>
      <c r="P1" s="132"/>
      <c r="Q1" s="132"/>
      <c r="R1" s="132"/>
    </row>
    <row r="2" spans="1:18" ht="20.25" x14ac:dyDescent="0.3">
      <c r="A2" s="381" t="s">
        <v>286</v>
      </c>
      <c r="B2" s="132"/>
      <c r="C2" s="382" t="s">
        <v>291</v>
      </c>
      <c r="D2" s="132"/>
      <c r="E2" s="132"/>
      <c r="F2" s="132"/>
      <c r="G2" s="132"/>
      <c r="H2" s="132"/>
      <c r="I2" s="132"/>
      <c r="J2" s="132"/>
      <c r="K2" s="132"/>
      <c r="L2" s="132"/>
      <c r="M2" s="132"/>
      <c r="N2" s="132"/>
      <c r="O2" s="132"/>
      <c r="P2" s="132"/>
      <c r="Q2" s="132"/>
      <c r="R2" s="132"/>
    </row>
    <row r="3" spans="1:18" s="385" customFormat="1" ht="15.75" x14ac:dyDescent="0.25">
      <c r="A3" s="383" t="s">
        <v>287</v>
      </c>
      <c r="B3" s="679" t="s">
        <v>20</v>
      </c>
      <c r="C3" s="679" t="s">
        <v>10</v>
      </c>
      <c r="D3" s="679" t="s">
        <v>21</v>
      </c>
      <c r="E3" s="679" t="s">
        <v>22</v>
      </c>
      <c r="F3" s="679" t="s">
        <v>23</v>
      </c>
      <c r="G3" s="679" t="s">
        <v>24</v>
      </c>
      <c r="H3" s="679" t="s">
        <v>11</v>
      </c>
      <c r="I3" s="679" t="s">
        <v>30</v>
      </c>
      <c r="J3" s="679" t="s">
        <v>529</v>
      </c>
      <c r="K3" s="679" t="s">
        <v>528</v>
      </c>
      <c r="L3" s="679" t="s">
        <v>584</v>
      </c>
      <c r="M3" s="384"/>
      <c r="N3" s="384"/>
      <c r="O3" s="384"/>
      <c r="P3" s="384"/>
      <c r="Q3" s="384"/>
      <c r="R3" s="384"/>
    </row>
    <row r="4" spans="1:18" x14ac:dyDescent="0.2">
      <c r="A4" s="386" t="s">
        <v>466</v>
      </c>
      <c r="B4" s="250">
        <v>300</v>
      </c>
      <c r="C4" s="250">
        <v>420</v>
      </c>
      <c r="D4" s="250">
        <v>350</v>
      </c>
      <c r="E4" s="250">
        <v>245</v>
      </c>
      <c r="F4" s="250">
        <v>130</v>
      </c>
      <c r="G4" s="250">
        <v>300</v>
      </c>
      <c r="H4" s="250">
        <v>230</v>
      </c>
      <c r="I4" s="250">
        <v>230</v>
      </c>
      <c r="J4" s="250">
        <v>240</v>
      </c>
      <c r="K4" s="250">
        <v>500</v>
      </c>
      <c r="L4" s="250">
        <v>300</v>
      </c>
      <c r="M4" s="132"/>
      <c r="N4" s="132"/>
      <c r="O4" s="132"/>
      <c r="P4" s="132"/>
      <c r="Q4" s="132"/>
      <c r="R4" s="132"/>
    </row>
    <row r="5" spans="1:18" x14ac:dyDescent="0.2">
      <c r="A5" s="386" t="s">
        <v>606</v>
      </c>
      <c r="B5" s="250">
        <v>11</v>
      </c>
      <c r="C5" s="250">
        <v>13</v>
      </c>
      <c r="D5" s="250">
        <v>10</v>
      </c>
      <c r="E5" s="250">
        <v>13.5</v>
      </c>
      <c r="F5" s="250">
        <v>12</v>
      </c>
      <c r="G5" s="250">
        <v>10</v>
      </c>
      <c r="H5" s="250">
        <v>13</v>
      </c>
      <c r="I5" s="250">
        <v>13</v>
      </c>
      <c r="J5" s="250">
        <v>12.5</v>
      </c>
      <c r="K5" s="250">
        <v>9.5</v>
      </c>
      <c r="L5" s="250">
        <v>13</v>
      </c>
      <c r="M5" s="132"/>
      <c r="N5" s="132"/>
      <c r="O5" s="132"/>
      <c r="P5" s="132"/>
      <c r="Q5" s="132"/>
      <c r="R5" s="132"/>
    </row>
    <row r="6" spans="1:18" x14ac:dyDescent="0.2">
      <c r="A6" s="386" t="s">
        <v>297</v>
      </c>
      <c r="B6" s="250">
        <v>14</v>
      </c>
      <c r="C6" s="250">
        <v>13</v>
      </c>
      <c r="D6" s="250">
        <v>12</v>
      </c>
      <c r="E6" s="250">
        <v>10</v>
      </c>
      <c r="F6" s="250">
        <v>12</v>
      </c>
      <c r="G6" s="250">
        <v>10</v>
      </c>
      <c r="H6" s="250">
        <v>34</v>
      </c>
      <c r="I6" s="250">
        <v>25</v>
      </c>
      <c r="J6" s="250">
        <v>25.5</v>
      </c>
      <c r="K6" s="250">
        <v>20</v>
      </c>
      <c r="L6" s="250">
        <v>20</v>
      </c>
      <c r="M6" s="132"/>
      <c r="N6" s="132"/>
      <c r="O6" s="132"/>
      <c r="P6" s="132"/>
      <c r="Q6" s="132"/>
      <c r="R6" s="132"/>
    </row>
    <row r="7" spans="1:18" x14ac:dyDescent="0.2">
      <c r="A7" s="386" t="s">
        <v>17</v>
      </c>
      <c r="B7" s="401">
        <f t="shared" ref="B7:L7" si="0">VLOOKUP(B3,$A$50:$G$91,5,FALSE)</f>
        <v>90</v>
      </c>
      <c r="C7" s="401">
        <f t="shared" si="0"/>
        <v>90</v>
      </c>
      <c r="D7" s="401">
        <f t="shared" si="0"/>
        <v>90</v>
      </c>
      <c r="E7" s="401">
        <f t="shared" si="0"/>
        <v>90</v>
      </c>
      <c r="F7" s="401">
        <f t="shared" si="0"/>
        <v>90</v>
      </c>
      <c r="G7" s="401">
        <f t="shared" si="0"/>
        <v>90</v>
      </c>
      <c r="H7" s="401">
        <f t="shared" si="0"/>
        <v>90</v>
      </c>
      <c r="I7" s="401">
        <f t="shared" si="0"/>
        <v>90</v>
      </c>
      <c r="J7" s="401">
        <f t="shared" si="0"/>
        <v>90</v>
      </c>
      <c r="K7" s="401">
        <f t="shared" si="0"/>
        <v>90</v>
      </c>
      <c r="L7" s="401">
        <f t="shared" si="0"/>
        <v>90</v>
      </c>
      <c r="M7" s="132"/>
      <c r="N7" s="132"/>
      <c r="O7" s="132"/>
      <c r="P7" s="132"/>
      <c r="Q7" s="132"/>
      <c r="R7" s="132"/>
    </row>
    <row r="8" spans="1:18" x14ac:dyDescent="0.2">
      <c r="A8" s="387"/>
      <c r="B8" s="388"/>
      <c r="C8" s="388"/>
      <c r="D8" s="388"/>
      <c r="E8" s="388"/>
      <c r="F8" s="388"/>
      <c r="G8" s="388"/>
      <c r="H8" s="388"/>
      <c r="I8" s="388"/>
      <c r="J8" s="388"/>
      <c r="K8" s="388"/>
      <c r="L8" s="388"/>
      <c r="M8" s="387"/>
      <c r="N8" s="387"/>
      <c r="O8" s="387"/>
      <c r="P8" s="387"/>
      <c r="Q8" s="387"/>
      <c r="R8" s="387"/>
    </row>
    <row r="9" spans="1:18" s="385" customFormat="1" ht="15.75" x14ac:dyDescent="0.25">
      <c r="A9" s="389" t="s">
        <v>288</v>
      </c>
      <c r="B9" s="679" t="s">
        <v>38</v>
      </c>
      <c r="C9" s="679" t="s">
        <v>40</v>
      </c>
      <c r="D9" s="679" t="s">
        <v>41</v>
      </c>
      <c r="E9" s="679" t="s">
        <v>39</v>
      </c>
      <c r="F9" s="679" t="s">
        <v>44</v>
      </c>
      <c r="G9" s="679" t="s">
        <v>42</v>
      </c>
      <c r="H9" s="679" t="s">
        <v>43</v>
      </c>
      <c r="I9" s="132"/>
      <c r="J9" s="132"/>
      <c r="K9" s="132"/>
      <c r="L9" s="132"/>
      <c r="M9" s="132"/>
      <c r="N9" s="132"/>
      <c r="O9" s="132"/>
      <c r="P9" s="132"/>
      <c r="Q9" s="390"/>
      <c r="R9" s="390"/>
    </row>
    <row r="10" spans="1:18" x14ac:dyDescent="0.2">
      <c r="A10" s="386" t="s">
        <v>466</v>
      </c>
      <c r="B10" s="250">
        <v>350</v>
      </c>
      <c r="C10" s="250">
        <v>230</v>
      </c>
      <c r="D10" s="250">
        <v>230</v>
      </c>
      <c r="E10" s="250">
        <v>360</v>
      </c>
      <c r="F10" s="250">
        <v>230</v>
      </c>
      <c r="G10" s="250">
        <v>350</v>
      </c>
      <c r="H10" s="250">
        <v>300</v>
      </c>
      <c r="I10" s="132"/>
      <c r="J10" s="132"/>
      <c r="K10" s="132"/>
      <c r="L10" s="132"/>
      <c r="M10" s="132"/>
      <c r="N10" s="132"/>
      <c r="O10" s="132"/>
      <c r="P10" s="132"/>
      <c r="Q10" s="387"/>
      <c r="R10" s="387"/>
    </row>
    <row r="11" spans="1:18" x14ac:dyDescent="0.2">
      <c r="A11" s="386" t="s">
        <v>606</v>
      </c>
      <c r="B11" s="250">
        <v>13</v>
      </c>
      <c r="C11" s="250">
        <v>12</v>
      </c>
      <c r="D11" s="250">
        <v>11</v>
      </c>
      <c r="E11" s="250">
        <v>11</v>
      </c>
      <c r="F11" s="250">
        <v>11</v>
      </c>
      <c r="G11" s="250">
        <v>12</v>
      </c>
      <c r="H11" s="250">
        <v>10.8</v>
      </c>
      <c r="I11" s="132"/>
      <c r="J11" s="132"/>
      <c r="K11" s="132"/>
      <c r="L11" s="132"/>
      <c r="M11" s="132"/>
      <c r="N11" s="132"/>
      <c r="O11" s="132"/>
      <c r="P11" s="132"/>
      <c r="Q11" s="387"/>
      <c r="R11" s="387"/>
    </row>
    <row r="12" spans="1:18" x14ac:dyDescent="0.2">
      <c r="A12" s="386" t="s">
        <v>297</v>
      </c>
      <c r="B12" s="250">
        <v>45</v>
      </c>
      <c r="C12" s="250">
        <v>20</v>
      </c>
      <c r="D12" s="250">
        <v>60</v>
      </c>
      <c r="E12" s="250">
        <v>45</v>
      </c>
      <c r="F12" s="250">
        <v>25</v>
      </c>
      <c r="G12" s="250">
        <v>50</v>
      </c>
      <c r="H12" s="250">
        <v>42</v>
      </c>
      <c r="I12" s="132"/>
      <c r="J12" s="132"/>
      <c r="K12" s="132"/>
      <c r="L12" s="132"/>
      <c r="M12" s="132"/>
      <c r="N12" s="132"/>
      <c r="O12" s="132"/>
      <c r="P12" s="132"/>
      <c r="Q12" s="387"/>
      <c r="R12" s="387"/>
    </row>
    <row r="13" spans="1:18" x14ac:dyDescent="0.2">
      <c r="A13" s="386" t="s">
        <v>17</v>
      </c>
      <c r="B13" s="401">
        <f t="shared" ref="B13:H13" si="1">VLOOKUP(B9,$A$50:$G$91,5,FALSE)</f>
        <v>90</v>
      </c>
      <c r="C13" s="401">
        <f t="shared" si="1"/>
        <v>90</v>
      </c>
      <c r="D13" s="401">
        <f t="shared" si="1"/>
        <v>90</v>
      </c>
      <c r="E13" s="401">
        <f t="shared" si="1"/>
        <v>90</v>
      </c>
      <c r="F13" s="401">
        <f t="shared" si="1"/>
        <v>90</v>
      </c>
      <c r="G13" s="401">
        <f t="shared" si="1"/>
        <v>90</v>
      </c>
      <c r="H13" s="401">
        <f t="shared" si="1"/>
        <v>90</v>
      </c>
      <c r="I13" s="132"/>
      <c r="J13" s="132"/>
      <c r="K13" s="132"/>
      <c r="L13" s="132"/>
      <c r="M13" s="132"/>
      <c r="N13" s="132"/>
      <c r="O13" s="132"/>
      <c r="P13" s="132"/>
      <c r="Q13" s="387"/>
      <c r="R13" s="387"/>
    </row>
    <row r="14" spans="1:18" ht="13.5" thickBot="1" x14ac:dyDescent="0.25">
      <c r="A14" s="387"/>
      <c r="B14" s="387"/>
      <c r="C14" s="387"/>
      <c r="D14" s="387"/>
      <c r="E14" s="387"/>
      <c r="F14" s="387"/>
      <c r="G14" s="387"/>
      <c r="H14" s="387"/>
      <c r="I14" s="387"/>
      <c r="J14" s="387"/>
      <c r="K14" s="387"/>
      <c r="L14" s="387"/>
      <c r="M14" s="132"/>
      <c r="N14" s="132"/>
      <c r="O14" s="132"/>
      <c r="P14" s="132"/>
      <c r="Q14" s="387"/>
      <c r="R14" s="387"/>
    </row>
    <row r="15" spans="1:18" s="385" customFormat="1" ht="24" thickBot="1" x14ac:dyDescent="0.4">
      <c r="A15" s="387"/>
      <c r="B15" s="940" t="s">
        <v>587</v>
      </c>
      <c r="C15" s="941"/>
      <c r="D15" s="941"/>
      <c r="E15" s="941"/>
      <c r="F15" s="941"/>
      <c r="G15" s="942"/>
      <c r="H15" s="940" t="s">
        <v>588</v>
      </c>
      <c r="I15" s="941"/>
      <c r="J15" s="941"/>
      <c r="K15" s="941"/>
      <c r="L15" s="942"/>
      <c r="M15" s="132"/>
      <c r="N15" s="132"/>
      <c r="O15" s="132"/>
      <c r="P15" s="132"/>
      <c r="Q15" s="384"/>
      <c r="R15" s="384"/>
    </row>
    <row r="16" spans="1:18" ht="15.75" x14ac:dyDescent="0.25">
      <c r="A16" s="389" t="s">
        <v>289</v>
      </c>
      <c r="B16" s="680" t="s">
        <v>531</v>
      </c>
      <c r="C16" s="680" t="s">
        <v>468</v>
      </c>
      <c r="D16" s="680" t="s">
        <v>469</v>
      </c>
      <c r="E16" s="680" t="s">
        <v>530</v>
      </c>
      <c r="F16" s="680" t="s">
        <v>531</v>
      </c>
      <c r="G16" s="680"/>
      <c r="H16" s="680" t="s">
        <v>589</v>
      </c>
      <c r="I16" s="680" t="s">
        <v>578</v>
      </c>
      <c r="J16" s="680" t="s">
        <v>579</v>
      </c>
      <c r="K16" s="680" t="s">
        <v>580</v>
      </c>
      <c r="L16" s="680" t="s">
        <v>581</v>
      </c>
      <c r="M16" s="132"/>
      <c r="N16" s="132"/>
      <c r="O16" s="132"/>
      <c r="P16" s="132"/>
      <c r="Q16" s="132"/>
      <c r="R16" s="132"/>
    </row>
    <row r="17" spans="1:18" x14ac:dyDescent="0.2">
      <c r="A17" s="386" t="s">
        <v>466</v>
      </c>
      <c r="B17" s="250">
        <v>120</v>
      </c>
      <c r="C17" s="250">
        <v>300</v>
      </c>
      <c r="D17" s="250">
        <v>200</v>
      </c>
      <c r="E17" s="250">
        <v>350</v>
      </c>
      <c r="F17" s="250">
        <v>120</v>
      </c>
      <c r="G17" s="250"/>
      <c r="H17" s="250">
        <v>100</v>
      </c>
      <c r="I17" s="250">
        <v>50</v>
      </c>
      <c r="J17" s="250">
        <v>70</v>
      </c>
      <c r="K17" s="250">
        <v>150</v>
      </c>
      <c r="L17" s="250">
        <v>150</v>
      </c>
      <c r="M17" s="132"/>
      <c r="N17" s="132"/>
      <c r="O17" s="132"/>
      <c r="P17" s="132"/>
      <c r="Q17" s="132"/>
      <c r="R17" s="132"/>
    </row>
    <row r="18" spans="1:18" x14ac:dyDescent="0.2">
      <c r="A18" s="386" t="s">
        <v>606</v>
      </c>
      <c r="B18" s="250">
        <v>5</v>
      </c>
      <c r="C18" s="250">
        <v>10</v>
      </c>
      <c r="D18" s="250">
        <v>8</v>
      </c>
      <c r="E18" s="250">
        <v>8.5</v>
      </c>
      <c r="F18" s="250">
        <v>10</v>
      </c>
      <c r="G18" s="250"/>
      <c r="H18" s="250">
        <v>8</v>
      </c>
      <c r="I18" s="250">
        <v>10</v>
      </c>
      <c r="J18" s="250">
        <v>10</v>
      </c>
      <c r="K18" s="250">
        <v>10</v>
      </c>
      <c r="L18" s="250">
        <v>10</v>
      </c>
      <c r="M18" s="132"/>
      <c r="N18" s="132"/>
      <c r="O18" s="132"/>
      <c r="P18" s="132"/>
      <c r="Q18" s="132"/>
      <c r="R18" s="132"/>
    </row>
    <row r="19" spans="1:18" x14ac:dyDescent="0.2">
      <c r="A19" s="386" t="s">
        <v>297</v>
      </c>
      <c r="B19" s="250">
        <v>6</v>
      </c>
      <c r="C19" s="250">
        <v>12</v>
      </c>
      <c r="D19" s="250">
        <v>8</v>
      </c>
      <c r="E19" s="250">
        <v>18</v>
      </c>
      <c r="F19" s="250">
        <v>8</v>
      </c>
      <c r="G19" s="250"/>
      <c r="H19" s="250">
        <v>12</v>
      </c>
      <c r="I19" s="250">
        <v>14</v>
      </c>
      <c r="J19" s="250">
        <v>18</v>
      </c>
      <c r="K19" s="250">
        <v>17</v>
      </c>
      <c r="L19" s="250">
        <v>17</v>
      </c>
      <c r="M19" s="132"/>
      <c r="N19" s="132"/>
      <c r="O19" s="132"/>
      <c r="P19" s="132"/>
      <c r="Q19" s="132"/>
      <c r="R19" s="132"/>
    </row>
    <row r="20" spans="1:18" x14ac:dyDescent="0.2">
      <c r="A20" s="386" t="s">
        <v>17</v>
      </c>
      <c r="B20" s="401">
        <f>VLOOKUP(B16,$A$50:$G$91,5,FALSE)</f>
        <v>88</v>
      </c>
      <c r="C20" s="401">
        <f>VLOOKUP(C16,$A$50:$G$91,5,FALSE)</f>
        <v>88</v>
      </c>
      <c r="D20" s="401">
        <f>VLOOKUP(D16,$A$50:$G$91,5,FALSE)</f>
        <v>88</v>
      </c>
      <c r="E20" s="401">
        <f>VLOOKUP(E16,$A$50:$G$91,5,FALSE)</f>
        <v>90</v>
      </c>
      <c r="F20" s="401">
        <f>VLOOKUP(F16,$A$50:$G$91,5,FALSE)</f>
        <v>88</v>
      </c>
      <c r="G20" s="401"/>
      <c r="H20" s="250">
        <v>42</v>
      </c>
      <c r="I20" s="250">
        <v>70</v>
      </c>
      <c r="J20" s="250">
        <v>50</v>
      </c>
      <c r="K20" s="250">
        <v>50</v>
      </c>
      <c r="L20" s="250">
        <v>50</v>
      </c>
      <c r="M20" s="132"/>
      <c r="N20" s="132"/>
      <c r="O20" s="132"/>
      <c r="P20" s="132"/>
      <c r="Q20" s="380"/>
      <c r="R20" s="380"/>
    </row>
    <row r="21" spans="1:18" ht="15.75" x14ac:dyDescent="0.25">
      <c r="A21" s="380"/>
      <c r="B21" s="392"/>
      <c r="C21" s="392"/>
      <c r="D21" s="392"/>
      <c r="E21" s="392"/>
      <c r="F21" s="392"/>
      <c r="G21" s="392"/>
      <c r="H21" s="392"/>
      <c r="I21" s="392"/>
      <c r="J21" s="391"/>
      <c r="K21" s="391"/>
      <c r="L21" s="393"/>
      <c r="M21" s="393"/>
      <c r="N21" s="380"/>
      <c r="O21" s="380"/>
      <c r="P21" s="380"/>
      <c r="Q21" s="380"/>
      <c r="R21" s="380"/>
    </row>
    <row r="22" spans="1:18" ht="15.75" x14ac:dyDescent="0.25">
      <c r="A22" s="389" t="s">
        <v>290</v>
      </c>
      <c r="B22" s="679" t="s">
        <v>26</v>
      </c>
      <c r="C22" s="679" t="s">
        <v>25</v>
      </c>
      <c r="D22" s="679" t="s">
        <v>27</v>
      </c>
      <c r="E22" s="679" t="s">
        <v>28</v>
      </c>
      <c r="F22" s="679" t="s">
        <v>45</v>
      </c>
      <c r="G22" s="679" t="s">
        <v>36</v>
      </c>
      <c r="H22" s="679" t="s">
        <v>29</v>
      </c>
      <c r="I22" s="679" t="s">
        <v>34</v>
      </c>
      <c r="J22" s="679" t="s">
        <v>582</v>
      </c>
      <c r="K22" s="132"/>
      <c r="L22" s="132"/>
      <c r="M22" s="380"/>
      <c r="N22" s="380"/>
      <c r="O22" s="380"/>
      <c r="P22" s="380"/>
      <c r="Q22" s="380"/>
      <c r="R22" s="380"/>
    </row>
    <row r="23" spans="1:18" x14ac:dyDescent="0.2">
      <c r="A23" s="386" t="s">
        <v>466</v>
      </c>
      <c r="B23" s="250">
        <v>260</v>
      </c>
      <c r="C23" s="250">
        <v>750</v>
      </c>
      <c r="D23" s="250">
        <v>165</v>
      </c>
      <c r="E23" s="250">
        <v>300</v>
      </c>
      <c r="F23" s="250"/>
      <c r="G23" s="250"/>
      <c r="H23" s="250"/>
      <c r="I23" s="250">
        <v>1000</v>
      </c>
      <c r="J23" s="250"/>
      <c r="K23" s="132"/>
      <c r="L23" s="132"/>
      <c r="M23" s="380"/>
      <c r="N23" s="380"/>
      <c r="O23" s="380"/>
      <c r="P23" s="380"/>
      <c r="Q23" s="380"/>
      <c r="R23" s="380"/>
    </row>
    <row r="24" spans="1:18" x14ac:dyDescent="0.2">
      <c r="A24" s="386" t="s">
        <v>606</v>
      </c>
      <c r="B24" s="250">
        <v>0</v>
      </c>
      <c r="C24" s="250">
        <v>0</v>
      </c>
      <c r="D24" s="250">
        <v>0</v>
      </c>
      <c r="E24" s="250">
        <v>0</v>
      </c>
      <c r="F24" s="250"/>
      <c r="G24" s="250"/>
      <c r="H24" s="250"/>
      <c r="I24" s="250">
        <v>0</v>
      </c>
      <c r="J24" s="250"/>
      <c r="K24" s="132"/>
      <c r="L24" s="132"/>
      <c r="M24" s="380"/>
      <c r="N24" s="380"/>
      <c r="O24" s="380"/>
      <c r="P24" s="380"/>
      <c r="Q24" s="380"/>
      <c r="R24" s="380"/>
    </row>
    <row r="25" spans="1:18" x14ac:dyDescent="0.2">
      <c r="A25" s="386" t="s">
        <v>297</v>
      </c>
      <c r="B25" s="250">
        <v>0</v>
      </c>
      <c r="C25" s="250">
        <v>0</v>
      </c>
      <c r="D25" s="250">
        <v>0</v>
      </c>
      <c r="E25" s="250">
        <v>0</v>
      </c>
      <c r="F25" s="250"/>
      <c r="G25" s="250"/>
      <c r="H25" s="250"/>
      <c r="I25" s="250"/>
      <c r="J25" s="250"/>
      <c r="K25" s="132"/>
      <c r="L25" s="132"/>
      <c r="M25" s="380"/>
      <c r="N25" s="380"/>
      <c r="O25" s="380"/>
      <c r="P25" s="380"/>
      <c r="Q25" s="380"/>
      <c r="R25" s="380"/>
    </row>
    <row r="26" spans="1:18" ht="12.75" customHeight="1" x14ac:dyDescent="0.2">
      <c r="A26" s="386" t="s">
        <v>17</v>
      </c>
      <c r="B26" s="401">
        <f>VLOOKUP(B22,$A$50:$G$92,5,FALSE)</f>
        <v>100</v>
      </c>
      <c r="C26" s="401">
        <f t="shared" ref="C26:J26" si="2">VLOOKUP(C22,$A$50:$G$92,5,FALSE)</f>
        <v>100</v>
      </c>
      <c r="D26" s="401">
        <f t="shared" si="2"/>
        <v>100</v>
      </c>
      <c r="E26" s="401">
        <f t="shared" si="2"/>
        <v>100</v>
      </c>
      <c r="F26" s="401">
        <f t="shared" si="2"/>
        <v>99</v>
      </c>
      <c r="G26" s="401">
        <f t="shared" si="2"/>
        <v>100</v>
      </c>
      <c r="H26" s="401">
        <f t="shared" si="2"/>
        <v>76</v>
      </c>
      <c r="I26" s="401">
        <f t="shared" si="2"/>
        <v>100</v>
      </c>
      <c r="J26" s="401">
        <f t="shared" si="2"/>
        <v>100</v>
      </c>
      <c r="K26" s="132"/>
      <c r="L26" s="132"/>
      <c r="M26" s="132"/>
      <c r="N26" s="132"/>
      <c r="O26" s="132"/>
      <c r="P26" s="132"/>
      <c r="Q26" s="132"/>
      <c r="R26" s="132"/>
    </row>
    <row r="27" spans="1:18" ht="15.75" x14ac:dyDescent="0.25">
      <c r="A27" s="380"/>
      <c r="B27" s="132"/>
      <c r="C27" s="132"/>
      <c r="D27" s="132"/>
      <c r="E27" s="132"/>
      <c r="F27" s="132"/>
      <c r="G27" s="132"/>
      <c r="H27" s="132"/>
      <c r="I27" s="132"/>
      <c r="J27" s="132"/>
      <c r="K27" s="132"/>
      <c r="L27" s="387"/>
      <c r="M27" s="390"/>
      <c r="N27" s="132"/>
      <c r="O27" s="132"/>
      <c r="P27" s="132"/>
      <c r="Q27" s="132"/>
      <c r="R27" s="132"/>
    </row>
    <row r="28" spans="1:18" ht="15.75" x14ac:dyDescent="0.25">
      <c r="A28" s="394" t="s">
        <v>474</v>
      </c>
      <c r="B28" s="395"/>
      <c r="C28" s="396" t="s">
        <v>265</v>
      </c>
      <c r="D28" s="396"/>
      <c r="E28" s="396"/>
      <c r="F28" s="396"/>
      <c r="G28" s="395"/>
      <c r="H28" s="395"/>
      <c r="I28" s="395"/>
      <c r="J28" s="395"/>
      <c r="K28" s="395"/>
      <c r="L28" s="395"/>
      <c r="M28" s="387"/>
      <c r="N28" s="132"/>
      <c r="O28" s="132"/>
      <c r="P28" s="132"/>
      <c r="Q28" s="132"/>
      <c r="R28" s="132"/>
    </row>
    <row r="29" spans="1:18" ht="15.75" x14ac:dyDescent="0.25">
      <c r="A29" s="386" t="s">
        <v>126</v>
      </c>
      <c r="B29" s="406" t="s">
        <v>150</v>
      </c>
      <c r="C29" s="406" t="s">
        <v>613</v>
      </c>
      <c r="D29" s="406" t="s">
        <v>614</v>
      </c>
      <c r="E29" s="406"/>
      <c r="F29" s="406"/>
      <c r="G29" s="406"/>
      <c r="H29" s="406"/>
      <c r="I29" s="406"/>
      <c r="J29" s="406"/>
      <c r="K29" s="406"/>
      <c r="L29" s="406"/>
      <c r="M29" s="387"/>
      <c r="N29" s="132"/>
      <c r="O29" s="132"/>
      <c r="P29" s="132"/>
      <c r="Q29" s="132"/>
      <c r="R29" s="132"/>
    </row>
    <row r="30" spans="1:18" x14ac:dyDescent="0.2">
      <c r="A30" s="386" t="s">
        <v>296</v>
      </c>
      <c r="B30" s="121">
        <v>280</v>
      </c>
      <c r="C30" s="121">
        <v>75</v>
      </c>
      <c r="D30" s="121">
        <v>350</v>
      </c>
      <c r="E30" s="121"/>
      <c r="F30" s="121"/>
      <c r="G30" s="121"/>
      <c r="H30" s="121"/>
      <c r="I30" s="121"/>
      <c r="J30" s="121"/>
      <c r="K30" s="121"/>
      <c r="L30" s="121"/>
      <c r="M30" s="387"/>
      <c r="N30" s="132"/>
      <c r="O30" s="132"/>
      <c r="P30" s="132"/>
      <c r="Q30" s="132"/>
      <c r="R30" s="132"/>
    </row>
    <row r="31" spans="1:18" x14ac:dyDescent="0.2">
      <c r="A31" s="386" t="s">
        <v>606</v>
      </c>
      <c r="B31" s="121">
        <v>13</v>
      </c>
      <c r="C31" s="121">
        <v>12</v>
      </c>
      <c r="D31" s="121">
        <v>12</v>
      </c>
      <c r="E31" s="121"/>
      <c r="F31" s="121"/>
      <c r="G31" s="121"/>
      <c r="H31" s="121"/>
      <c r="I31" s="121"/>
      <c r="J31" s="121"/>
      <c r="K31" s="121"/>
      <c r="L31" s="121"/>
      <c r="M31" s="387"/>
      <c r="N31" s="132"/>
      <c r="O31" s="132"/>
      <c r="P31" s="132"/>
      <c r="Q31" s="132"/>
      <c r="R31" s="132"/>
    </row>
    <row r="32" spans="1:18" x14ac:dyDescent="0.2">
      <c r="A32" s="386" t="s">
        <v>297</v>
      </c>
      <c r="B32" s="121">
        <v>16.5</v>
      </c>
      <c r="C32" s="121">
        <v>8</v>
      </c>
      <c r="D32" s="121">
        <v>14</v>
      </c>
      <c r="E32" s="121"/>
      <c r="F32" s="121"/>
      <c r="G32" s="121"/>
      <c r="H32" s="121"/>
      <c r="I32" s="121"/>
      <c r="J32" s="121"/>
      <c r="K32" s="121"/>
      <c r="L32" s="121"/>
      <c r="M32" s="387"/>
      <c r="N32" s="132"/>
      <c r="O32" s="132"/>
      <c r="P32" s="132"/>
      <c r="Q32" s="132"/>
      <c r="R32" s="132"/>
    </row>
    <row r="33" spans="1:18" ht="15" x14ac:dyDescent="0.2">
      <c r="A33" s="386" t="s">
        <v>17</v>
      </c>
      <c r="B33" s="379">
        <v>90</v>
      </c>
      <c r="C33" s="379">
        <v>10</v>
      </c>
      <c r="D33" s="379">
        <v>90</v>
      </c>
      <c r="E33" s="379"/>
      <c r="F33" s="379"/>
      <c r="G33" s="379"/>
      <c r="H33" s="379"/>
      <c r="I33" s="379"/>
      <c r="J33" s="379"/>
      <c r="K33" s="379"/>
      <c r="L33" s="379"/>
      <c r="M33" s="384"/>
      <c r="N33" s="132"/>
      <c r="O33" s="132"/>
      <c r="P33" s="132"/>
      <c r="Q33" s="132"/>
      <c r="R33" s="132"/>
    </row>
    <row r="34" spans="1:18" x14ac:dyDescent="0.2">
      <c r="A34" s="386" t="s">
        <v>294</v>
      </c>
      <c r="B34" s="121">
        <v>3</v>
      </c>
      <c r="C34" s="121">
        <v>3</v>
      </c>
      <c r="D34" s="121">
        <v>3</v>
      </c>
      <c r="E34" s="121"/>
      <c r="F34" s="121"/>
      <c r="G34" s="121"/>
      <c r="H34" s="121"/>
      <c r="I34" s="121"/>
      <c r="J34" s="121"/>
      <c r="K34" s="121"/>
      <c r="L34" s="121"/>
      <c r="M34" s="132"/>
      <c r="N34" s="132"/>
      <c r="O34" s="132"/>
      <c r="P34" s="132"/>
      <c r="Q34" s="132"/>
      <c r="R34" s="132"/>
    </row>
    <row r="35" spans="1:18" x14ac:dyDescent="0.2">
      <c r="A35" s="386" t="s">
        <v>295</v>
      </c>
      <c r="B35" s="121">
        <v>1</v>
      </c>
      <c r="C35" s="121">
        <v>1</v>
      </c>
      <c r="D35" s="121">
        <v>1</v>
      </c>
      <c r="E35" s="121"/>
      <c r="F35" s="121"/>
      <c r="G35" s="121"/>
      <c r="H35" s="121"/>
      <c r="I35" s="121"/>
      <c r="J35" s="121"/>
      <c r="K35" s="121"/>
      <c r="L35" s="121"/>
      <c r="M35" s="132"/>
      <c r="N35" s="132"/>
      <c r="O35" s="132"/>
      <c r="P35" s="132"/>
      <c r="Q35" s="132"/>
      <c r="R35" s="132"/>
    </row>
    <row r="36" spans="1:18" ht="21" customHeight="1" x14ac:dyDescent="0.2">
      <c r="A36" s="395"/>
      <c r="B36" s="395"/>
      <c r="C36" s="395"/>
      <c r="D36" s="395"/>
      <c r="E36" s="395"/>
      <c r="F36" s="395"/>
      <c r="G36" s="395"/>
      <c r="H36" s="395"/>
      <c r="I36" s="395"/>
      <c r="J36" s="395"/>
      <c r="K36" s="395"/>
      <c r="L36" s="395"/>
      <c r="M36" s="132"/>
      <c r="N36" s="132"/>
      <c r="O36" s="132"/>
      <c r="P36" s="132"/>
      <c r="Q36" s="132"/>
      <c r="R36" s="132"/>
    </row>
    <row r="37" spans="1:18" ht="33" customHeight="1" x14ac:dyDescent="0.25">
      <c r="A37" s="502" t="s">
        <v>556</v>
      </c>
      <c r="B37" s="502"/>
      <c r="C37" s="502"/>
      <c r="D37" s="502"/>
      <c r="E37" s="502"/>
      <c r="F37" s="502"/>
      <c r="G37" s="502"/>
      <c r="H37" s="132"/>
      <c r="I37" s="132"/>
      <c r="J37" s="132"/>
      <c r="K37" s="132"/>
      <c r="L37" s="132"/>
      <c r="M37" s="132"/>
      <c r="N37" s="132"/>
      <c r="O37" s="132"/>
      <c r="P37" s="132"/>
      <c r="Q37" s="132"/>
      <c r="R37" s="132"/>
    </row>
    <row r="38" spans="1:18" ht="18.75" customHeight="1" x14ac:dyDescent="0.25">
      <c r="A38" s="502" t="s">
        <v>535</v>
      </c>
      <c r="B38" s="502"/>
      <c r="C38" s="502"/>
      <c r="D38" s="502"/>
      <c r="E38" s="502"/>
      <c r="F38" s="502"/>
      <c r="G38" s="502"/>
      <c r="H38" s="132"/>
      <c r="I38" s="132"/>
      <c r="J38" s="132"/>
      <c r="K38" s="132"/>
      <c r="L38" s="132"/>
      <c r="M38" s="132"/>
      <c r="N38" s="132"/>
      <c r="O38" s="132"/>
      <c r="P38" s="132"/>
      <c r="Q38" s="132"/>
      <c r="R38" s="132"/>
    </row>
    <row r="39" spans="1:18" x14ac:dyDescent="0.2">
      <c r="A39" s="132" t="s">
        <v>292</v>
      </c>
      <c r="B39" s="132"/>
      <c r="C39" s="132"/>
      <c r="D39" s="132"/>
      <c r="E39" s="132"/>
      <c r="F39" s="132"/>
      <c r="G39" s="132"/>
      <c r="H39" s="132"/>
      <c r="I39" s="132"/>
      <c r="J39" s="132"/>
      <c r="K39" s="132"/>
      <c r="L39" s="132"/>
      <c r="M39" s="132"/>
      <c r="N39" s="132"/>
      <c r="O39" s="132"/>
      <c r="P39" s="132"/>
      <c r="Q39" s="132"/>
      <c r="R39" s="132"/>
    </row>
    <row r="40" spans="1:18" x14ac:dyDescent="0.2">
      <c r="A40" s="132"/>
      <c r="B40" s="132"/>
      <c r="C40" s="132"/>
      <c r="D40" s="132"/>
      <c r="E40" s="132"/>
      <c r="F40" s="132"/>
      <c r="G40" s="132"/>
      <c r="H40" s="132"/>
      <c r="I40" s="132"/>
      <c r="J40" s="132"/>
      <c r="K40" s="132"/>
      <c r="L40" s="132"/>
      <c r="M40" s="132"/>
      <c r="N40" s="132"/>
      <c r="O40" s="132"/>
      <c r="P40" s="132"/>
      <c r="Q40" s="132"/>
      <c r="R40" s="132"/>
    </row>
    <row r="41" spans="1:18" x14ac:dyDescent="0.2">
      <c r="A41" s="132"/>
      <c r="B41" s="132"/>
      <c r="C41" s="132"/>
      <c r="D41" s="132"/>
      <c r="E41" s="132"/>
      <c r="F41" s="132"/>
      <c r="G41" s="132"/>
      <c r="H41" s="132"/>
      <c r="I41" s="132"/>
      <c r="J41" s="132"/>
      <c r="K41" s="132"/>
      <c r="L41" s="132"/>
      <c r="M41" s="132"/>
      <c r="N41" s="132"/>
      <c r="O41" s="132"/>
      <c r="P41" s="132"/>
      <c r="Q41" s="132"/>
      <c r="R41" s="132"/>
    </row>
    <row r="42" spans="1:18" x14ac:dyDescent="0.2">
      <c r="A42" s="132"/>
      <c r="B42" s="132"/>
      <c r="C42" s="132"/>
      <c r="D42" s="132"/>
      <c r="E42" s="132"/>
      <c r="F42" s="132"/>
      <c r="G42" s="132"/>
      <c r="H42" s="132"/>
      <c r="I42" s="132"/>
      <c r="J42" s="132"/>
      <c r="K42" s="132"/>
      <c r="L42" s="132"/>
      <c r="M42" s="132"/>
      <c r="N42" s="132"/>
      <c r="O42" s="132"/>
      <c r="P42" s="132"/>
      <c r="Q42" s="132"/>
      <c r="R42" s="132"/>
    </row>
    <row r="43" spans="1:18" x14ac:dyDescent="0.2">
      <c r="A43" s="132"/>
      <c r="B43" s="132"/>
      <c r="C43" s="132"/>
      <c r="D43" s="132"/>
      <c r="E43" s="132"/>
      <c r="F43" s="132"/>
      <c r="G43" s="132"/>
      <c r="H43" s="132"/>
      <c r="I43" s="132"/>
      <c r="J43" s="132"/>
      <c r="K43" s="132"/>
      <c r="L43" s="132"/>
      <c r="M43" s="132"/>
      <c r="N43" s="132"/>
      <c r="O43" s="132"/>
      <c r="P43" s="132"/>
      <c r="Q43" s="132"/>
      <c r="R43" s="132"/>
    </row>
    <row r="44" spans="1:18" x14ac:dyDescent="0.2">
      <c r="A44" s="132"/>
      <c r="B44" s="132"/>
      <c r="C44" s="132"/>
      <c r="D44" s="132"/>
      <c r="E44" s="132"/>
      <c r="F44" s="132"/>
      <c r="G44" s="132"/>
      <c r="H44" s="132"/>
      <c r="I44" s="132"/>
      <c r="J44" s="132"/>
      <c r="K44" s="132"/>
      <c r="L44" s="132"/>
      <c r="M44" s="132"/>
      <c r="N44" s="132"/>
      <c r="O44" s="132"/>
      <c r="P44" s="132"/>
      <c r="Q44" s="132"/>
      <c r="R44" s="132"/>
    </row>
    <row r="45" spans="1:18" ht="24" customHeight="1" x14ac:dyDescent="0.2">
      <c r="A45" s="671" t="s">
        <v>583</v>
      </c>
      <c r="B45" s="671"/>
      <c r="C45" s="671"/>
      <c r="D45" s="671"/>
      <c r="E45" s="671"/>
      <c r="F45" s="672"/>
      <c r="G45" s="672"/>
    </row>
    <row r="46" spans="1:18" x14ac:dyDescent="0.2">
      <c r="B46" s="397"/>
      <c r="C46" s="397"/>
      <c r="D46" s="397"/>
      <c r="E46" s="397"/>
    </row>
    <row r="47" spans="1:18" x14ac:dyDescent="0.2">
      <c r="A47" s="398" t="s">
        <v>196</v>
      </c>
      <c r="B47" s="399"/>
    </row>
    <row r="48" spans="1:18" ht="15" x14ac:dyDescent="0.25">
      <c r="A48" s="400"/>
      <c r="B48" s="401" t="s">
        <v>14</v>
      </c>
      <c r="C48" s="401" t="s">
        <v>18</v>
      </c>
      <c r="D48" s="401" t="s">
        <v>19</v>
      </c>
      <c r="E48" s="401" t="s">
        <v>17</v>
      </c>
      <c r="F48" s="402" t="s">
        <v>135</v>
      </c>
      <c r="G48" s="402" t="s">
        <v>136</v>
      </c>
    </row>
    <row r="49" spans="1:240" ht="15.75" x14ac:dyDescent="0.25">
      <c r="A49" s="383" t="s">
        <v>287</v>
      </c>
      <c r="B49" s="401"/>
      <c r="C49" s="401"/>
      <c r="D49" s="401"/>
      <c r="E49" s="401"/>
      <c r="F49" s="402"/>
      <c r="G49" s="402"/>
    </row>
    <row r="50" spans="1:240" ht="15" x14ac:dyDescent="0.25">
      <c r="A50" s="400" t="s">
        <v>20</v>
      </c>
      <c r="B50" s="402">
        <v>250</v>
      </c>
      <c r="C50" s="402">
        <v>13</v>
      </c>
      <c r="D50" s="402">
        <v>12</v>
      </c>
      <c r="E50" s="402">
        <v>90</v>
      </c>
      <c r="F50" s="403">
        <v>0.1</v>
      </c>
      <c r="G50" s="403">
        <v>0.4</v>
      </c>
    </row>
    <row r="51" spans="1:240" ht="15" x14ac:dyDescent="0.25">
      <c r="A51" s="400" t="s">
        <v>10</v>
      </c>
      <c r="B51" s="402">
        <v>250</v>
      </c>
      <c r="C51" s="402">
        <v>13</v>
      </c>
      <c r="D51" s="402">
        <v>11</v>
      </c>
      <c r="E51" s="402">
        <v>90</v>
      </c>
      <c r="F51" s="403">
        <v>0.1</v>
      </c>
      <c r="G51" s="403">
        <v>0.4</v>
      </c>
    </row>
    <row r="52" spans="1:240" ht="15" x14ac:dyDescent="0.25">
      <c r="A52" s="400" t="s">
        <v>21</v>
      </c>
      <c r="B52" s="402">
        <v>170</v>
      </c>
      <c r="C52" s="402">
        <v>13</v>
      </c>
      <c r="D52" s="402">
        <v>9</v>
      </c>
      <c r="E52" s="402">
        <v>90</v>
      </c>
      <c r="F52" s="403">
        <v>0.04</v>
      </c>
      <c r="G52" s="403">
        <v>0.3</v>
      </c>
    </row>
    <row r="53" spans="1:240" ht="15" x14ac:dyDescent="0.25">
      <c r="A53" s="400" t="s">
        <v>22</v>
      </c>
      <c r="B53" s="402">
        <v>245</v>
      </c>
      <c r="C53" s="402">
        <v>13.5</v>
      </c>
      <c r="D53" s="402">
        <v>9.5</v>
      </c>
      <c r="E53" s="402">
        <v>90</v>
      </c>
      <c r="F53" s="403">
        <v>0.02</v>
      </c>
      <c r="G53" s="403">
        <v>0.3</v>
      </c>
    </row>
    <row r="54" spans="1:240" ht="15" x14ac:dyDescent="0.25">
      <c r="A54" s="400" t="s">
        <v>23</v>
      </c>
      <c r="B54" s="402">
        <v>250</v>
      </c>
      <c r="C54" s="402">
        <v>13</v>
      </c>
      <c r="D54" s="402">
        <v>11</v>
      </c>
      <c r="E54" s="402">
        <v>90</v>
      </c>
      <c r="F54" s="403">
        <v>0.1</v>
      </c>
      <c r="G54" s="403">
        <v>0.4</v>
      </c>
    </row>
    <row r="55" spans="1:240" s="335" customFormat="1" ht="15" x14ac:dyDescent="0.25">
      <c r="A55" s="400" t="s">
        <v>24</v>
      </c>
      <c r="B55" s="402">
        <v>200</v>
      </c>
      <c r="C55" s="402">
        <v>12.5</v>
      </c>
      <c r="D55" s="402">
        <v>10.5</v>
      </c>
      <c r="E55" s="402">
        <v>90</v>
      </c>
      <c r="F55" s="403">
        <v>0.1</v>
      </c>
      <c r="G55" s="403">
        <v>0.4</v>
      </c>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19"/>
      <c r="AN55" s="119"/>
      <c r="AO55" s="119"/>
      <c r="AP55" s="119"/>
      <c r="AQ55" s="119"/>
      <c r="AR55" s="119"/>
      <c r="AS55" s="119"/>
      <c r="AT55" s="119"/>
      <c r="AU55" s="119"/>
      <c r="AV55" s="119"/>
      <c r="AW55" s="119"/>
      <c r="AX55" s="119"/>
      <c r="AY55" s="119"/>
      <c r="AZ55" s="119"/>
      <c r="BA55" s="119"/>
      <c r="BB55" s="119"/>
      <c r="BC55" s="119"/>
      <c r="BD55" s="119"/>
      <c r="BE55" s="119"/>
      <c r="BF55" s="119"/>
      <c r="BG55" s="119"/>
      <c r="BH55" s="119"/>
      <c r="BI55" s="119"/>
      <c r="BJ55" s="119"/>
      <c r="BK55" s="119"/>
      <c r="BL55" s="119"/>
      <c r="BM55" s="119"/>
      <c r="BN55" s="119"/>
      <c r="BO55" s="119"/>
      <c r="BP55" s="119"/>
      <c r="BQ55" s="119"/>
      <c r="BR55" s="119"/>
      <c r="BS55" s="119"/>
      <c r="BT55" s="119"/>
      <c r="BU55" s="119"/>
      <c r="BV55" s="119"/>
      <c r="BW55" s="119"/>
      <c r="BX55" s="119"/>
      <c r="BY55" s="119"/>
      <c r="BZ55" s="119"/>
      <c r="CA55" s="119"/>
      <c r="CB55" s="119"/>
      <c r="CC55" s="119"/>
      <c r="CD55" s="119"/>
      <c r="CE55" s="119"/>
      <c r="CF55" s="119"/>
      <c r="CG55" s="119"/>
      <c r="CH55" s="119"/>
      <c r="CI55" s="119"/>
      <c r="CJ55" s="119"/>
      <c r="CK55" s="119"/>
      <c r="CL55" s="119"/>
      <c r="CM55" s="119"/>
      <c r="CN55" s="119"/>
      <c r="CO55" s="119"/>
      <c r="CP55" s="119"/>
      <c r="CQ55" s="119"/>
      <c r="CR55" s="119"/>
      <c r="CS55" s="119"/>
      <c r="CT55" s="119"/>
      <c r="CU55" s="119"/>
      <c r="CV55" s="119"/>
      <c r="CW55" s="119"/>
      <c r="CX55" s="119"/>
      <c r="CY55" s="119"/>
      <c r="CZ55" s="119"/>
      <c r="DA55" s="119"/>
      <c r="DB55" s="119"/>
      <c r="DC55" s="119"/>
      <c r="DD55" s="119"/>
      <c r="DE55" s="119"/>
      <c r="DF55" s="119"/>
      <c r="DG55" s="119"/>
      <c r="DH55" s="119"/>
      <c r="DI55" s="119"/>
      <c r="DJ55" s="119"/>
      <c r="DK55" s="119"/>
      <c r="DL55" s="119"/>
      <c r="DM55" s="119"/>
      <c r="DN55" s="119"/>
      <c r="DO55" s="119"/>
      <c r="DP55" s="119"/>
      <c r="DQ55" s="119"/>
      <c r="DR55" s="119"/>
      <c r="DS55" s="119"/>
      <c r="DT55" s="119"/>
      <c r="DU55" s="119"/>
      <c r="DV55" s="119"/>
      <c r="DW55" s="119"/>
      <c r="DX55" s="119"/>
      <c r="DY55" s="119"/>
      <c r="DZ55" s="119"/>
      <c r="EA55" s="119"/>
      <c r="EB55" s="119"/>
      <c r="EC55" s="119"/>
      <c r="ED55" s="119"/>
      <c r="EE55" s="119"/>
      <c r="EF55" s="119"/>
      <c r="EG55" s="119"/>
      <c r="EH55" s="119"/>
      <c r="EI55" s="119"/>
      <c r="EJ55" s="119"/>
      <c r="EK55" s="119"/>
      <c r="EL55" s="119"/>
      <c r="EM55" s="119"/>
      <c r="EN55" s="119"/>
      <c r="EO55" s="119"/>
      <c r="EP55" s="119"/>
      <c r="EQ55" s="119"/>
      <c r="ER55" s="119"/>
      <c r="ES55" s="119"/>
      <c r="ET55" s="119"/>
      <c r="EU55" s="119"/>
      <c r="EV55" s="119"/>
      <c r="EW55" s="119"/>
      <c r="EX55" s="119"/>
      <c r="EY55" s="119"/>
      <c r="EZ55" s="119"/>
      <c r="FA55" s="119"/>
      <c r="FB55" s="119"/>
      <c r="FC55" s="119"/>
      <c r="FD55" s="119"/>
      <c r="FE55" s="119"/>
      <c r="FF55" s="119"/>
      <c r="FG55" s="119"/>
      <c r="FH55" s="119"/>
      <c r="FI55" s="119"/>
      <c r="FJ55" s="119"/>
      <c r="FK55" s="119"/>
      <c r="FL55" s="119"/>
      <c r="FM55" s="119"/>
      <c r="FN55" s="119"/>
      <c r="FO55" s="119"/>
      <c r="FP55" s="119"/>
      <c r="FQ55" s="119"/>
      <c r="FR55" s="119"/>
      <c r="FS55" s="119"/>
      <c r="FT55" s="119"/>
      <c r="FU55" s="119"/>
      <c r="FV55" s="119"/>
      <c r="FW55" s="119"/>
      <c r="FX55" s="119"/>
      <c r="FY55" s="119"/>
      <c r="FZ55" s="119"/>
      <c r="GA55" s="119"/>
      <c r="GB55" s="119"/>
      <c r="GC55" s="119"/>
      <c r="GD55" s="119"/>
      <c r="GE55" s="119"/>
      <c r="GF55" s="119"/>
      <c r="GG55" s="119"/>
      <c r="GH55" s="119"/>
      <c r="GI55" s="119"/>
      <c r="GJ55" s="119"/>
      <c r="GK55" s="119"/>
      <c r="GL55" s="119"/>
      <c r="GM55" s="119"/>
      <c r="GN55" s="119"/>
      <c r="GO55" s="119"/>
      <c r="GP55" s="119"/>
      <c r="GQ55" s="119"/>
      <c r="GR55" s="119"/>
      <c r="GS55" s="119"/>
      <c r="GT55" s="119"/>
      <c r="GU55" s="119"/>
      <c r="GV55" s="119"/>
      <c r="GW55" s="119"/>
      <c r="GX55" s="119"/>
      <c r="GY55" s="119"/>
      <c r="GZ55" s="119"/>
      <c r="HA55" s="119"/>
      <c r="HB55" s="119"/>
      <c r="HC55" s="119"/>
      <c r="HD55" s="119"/>
      <c r="HE55" s="119"/>
      <c r="HF55" s="119"/>
      <c r="HG55" s="119"/>
      <c r="HH55" s="119"/>
      <c r="HI55" s="119"/>
      <c r="HJ55" s="119"/>
      <c r="HK55" s="119"/>
      <c r="HL55" s="119"/>
      <c r="HM55" s="119"/>
      <c r="HN55" s="119"/>
      <c r="HO55" s="119"/>
      <c r="HP55" s="119"/>
      <c r="HQ55" s="119"/>
      <c r="HR55" s="119"/>
      <c r="HS55" s="119"/>
      <c r="HT55" s="119"/>
      <c r="HU55" s="119"/>
      <c r="HV55" s="119"/>
      <c r="HW55" s="119"/>
      <c r="HX55" s="119"/>
      <c r="HY55" s="119"/>
      <c r="HZ55" s="119"/>
      <c r="IA55" s="119"/>
      <c r="IB55" s="119"/>
      <c r="IC55" s="119"/>
      <c r="ID55" s="119"/>
      <c r="IE55" s="119"/>
      <c r="IF55" s="119"/>
    </row>
    <row r="56" spans="1:240" ht="15" x14ac:dyDescent="0.25">
      <c r="A56" s="400" t="s">
        <v>11</v>
      </c>
      <c r="B56" s="402">
        <v>400</v>
      </c>
      <c r="C56" s="402">
        <v>13</v>
      </c>
      <c r="D56" s="402">
        <v>32</v>
      </c>
      <c r="E56" s="402">
        <v>90</v>
      </c>
      <c r="F56" s="403">
        <v>0.2</v>
      </c>
      <c r="G56" s="403">
        <v>0.3</v>
      </c>
    </row>
    <row r="57" spans="1:240" ht="15" x14ac:dyDescent="0.25">
      <c r="A57" s="400" t="s">
        <v>30</v>
      </c>
      <c r="B57" s="402">
        <v>230</v>
      </c>
      <c r="C57" s="402">
        <v>13</v>
      </c>
      <c r="D57" s="402">
        <v>25</v>
      </c>
      <c r="E57" s="402">
        <v>90</v>
      </c>
      <c r="F57" s="403">
        <v>0.2</v>
      </c>
      <c r="G57" s="403">
        <v>0.2</v>
      </c>
    </row>
    <row r="58" spans="1:240" ht="15" x14ac:dyDescent="0.25">
      <c r="A58" s="400" t="s">
        <v>529</v>
      </c>
      <c r="B58" s="402">
        <v>240</v>
      </c>
      <c r="C58" s="402">
        <v>12.5</v>
      </c>
      <c r="D58" s="402">
        <v>25.6</v>
      </c>
      <c r="E58" s="402">
        <v>90</v>
      </c>
      <c r="F58" s="403">
        <v>0.2</v>
      </c>
      <c r="G58" s="403">
        <v>0.5</v>
      </c>
    </row>
    <row r="59" spans="1:240" s="404" customFormat="1" ht="15" x14ac:dyDescent="0.25">
      <c r="A59" s="400" t="s">
        <v>528</v>
      </c>
      <c r="B59" s="402">
        <v>500</v>
      </c>
      <c r="C59" s="402">
        <v>9.5</v>
      </c>
      <c r="D59" s="402">
        <v>20</v>
      </c>
      <c r="E59" s="402">
        <v>90</v>
      </c>
      <c r="F59" s="403">
        <v>0.1</v>
      </c>
      <c r="G59" s="403">
        <v>0.6</v>
      </c>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119"/>
      <c r="BC59" s="119"/>
      <c r="BD59" s="119"/>
      <c r="BE59" s="119"/>
      <c r="BF59" s="119"/>
      <c r="BG59" s="119"/>
      <c r="BH59" s="119"/>
      <c r="BI59" s="119"/>
      <c r="BJ59" s="119"/>
      <c r="BK59" s="119"/>
      <c r="BL59" s="119"/>
      <c r="BM59" s="119"/>
      <c r="BN59" s="119"/>
      <c r="BO59" s="119"/>
      <c r="BP59" s="119"/>
      <c r="BQ59" s="119"/>
      <c r="BR59" s="119"/>
      <c r="BS59" s="119"/>
      <c r="BT59" s="119"/>
      <c r="BU59" s="119"/>
      <c r="BV59" s="119"/>
      <c r="BW59" s="119"/>
      <c r="BX59" s="119"/>
      <c r="BY59" s="119"/>
      <c r="BZ59" s="119"/>
      <c r="CA59" s="119"/>
      <c r="CB59" s="119"/>
      <c r="CC59" s="119"/>
      <c r="CD59" s="119"/>
      <c r="CE59" s="119"/>
      <c r="CF59" s="119"/>
      <c r="CG59" s="119"/>
      <c r="CH59" s="119"/>
      <c r="CI59" s="119"/>
      <c r="CJ59" s="119"/>
      <c r="CK59" s="119"/>
      <c r="CL59" s="119"/>
      <c r="CM59" s="119"/>
      <c r="CN59" s="119"/>
      <c r="CO59" s="119"/>
      <c r="CP59" s="119"/>
      <c r="CQ59" s="119"/>
      <c r="CR59" s="119"/>
      <c r="CS59" s="119"/>
      <c r="CT59" s="119"/>
      <c r="CU59" s="119"/>
      <c r="CV59" s="119"/>
      <c r="CW59" s="119"/>
      <c r="CX59" s="119"/>
      <c r="CY59" s="119"/>
      <c r="CZ59" s="119"/>
      <c r="DA59" s="119"/>
      <c r="DB59" s="119"/>
      <c r="DC59" s="119"/>
      <c r="DD59" s="119"/>
      <c r="DE59" s="119"/>
      <c r="DF59" s="119"/>
      <c r="DG59" s="119"/>
      <c r="DH59" s="119"/>
      <c r="DI59" s="119"/>
      <c r="DJ59" s="119"/>
      <c r="DK59" s="119"/>
      <c r="DL59" s="119"/>
      <c r="DM59" s="119"/>
      <c r="DN59" s="119"/>
      <c r="DO59" s="119"/>
      <c r="DP59" s="119"/>
      <c r="DQ59" s="119"/>
      <c r="DR59" s="119"/>
      <c r="DS59" s="119"/>
      <c r="DT59" s="119"/>
      <c r="DU59" s="119"/>
      <c r="DV59" s="119"/>
      <c r="DW59" s="119"/>
      <c r="DX59" s="119"/>
      <c r="DY59" s="119"/>
      <c r="DZ59" s="119"/>
      <c r="EA59" s="119"/>
      <c r="EB59" s="119"/>
      <c r="EC59" s="119"/>
      <c r="ED59" s="119"/>
      <c r="EE59" s="119"/>
      <c r="EF59" s="119"/>
      <c r="EG59" s="119"/>
      <c r="EH59" s="119"/>
      <c r="EI59" s="119"/>
      <c r="EJ59" s="119"/>
      <c r="EK59" s="119"/>
      <c r="EL59" s="119"/>
      <c r="EM59" s="119"/>
      <c r="EN59" s="119"/>
      <c r="EO59" s="119"/>
      <c r="EP59" s="119"/>
      <c r="EQ59" s="119"/>
      <c r="ER59" s="119"/>
      <c r="ES59" s="119"/>
      <c r="ET59" s="119"/>
      <c r="EU59" s="119"/>
      <c r="EV59" s="119"/>
      <c r="EW59" s="119"/>
      <c r="EX59" s="119"/>
      <c r="EY59" s="119"/>
      <c r="EZ59" s="119"/>
      <c r="FA59" s="119"/>
      <c r="FB59" s="119"/>
      <c r="FC59" s="119"/>
      <c r="FD59" s="119"/>
      <c r="FE59" s="119"/>
      <c r="FF59" s="119"/>
      <c r="FG59" s="119"/>
      <c r="FH59" s="119"/>
      <c r="FI59" s="119"/>
      <c r="FJ59" s="119"/>
      <c r="FK59" s="119"/>
      <c r="FL59" s="119"/>
      <c r="FM59" s="119"/>
      <c r="FN59" s="119"/>
      <c r="FO59" s="119"/>
      <c r="FP59" s="119"/>
      <c r="FQ59" s="119"/>
      <c r="FR59" s="119"/>
      <c r="FS59" s="119"/>
      <c r="FT59" s="119"/>
      <c r="FU59" s="119"/>
      <c r="FV59" s="119"/>
      <c r="FW59" s="119"/>
      <c r="FX59" s="119"/>
      <c r="FY59" s="119"/>
      <c r="FZ59" s="119"/>
      <c r="GA59" s="119"/>
      <c r="GB59" s="119"/>
      <c r="GC59" s="119"/>
      <c r="GD59" s="119"/>
      <c r="GE59" s="119"/>
      <c r="GF59" s="119"/>
      <c r="GG59" s="119"/>
      <c r="GH59" s="119"/>
      <c r="GI59" s="119"/>
      <c r="GJ59" s="119"/>
      <c r="GK59" s="119"/>
      <c r="GL59" s="119"/>
      <c r="GM59" s="119"/>
      <c r="GN59" s="119"/>
      <c r="GO59" s="119"/>
      <c r="GP59" s="119"/>
      <c r="GQ59" s="119"/>
      <c r="GR59" s="119"/>
      <c r="GS59" s="119"/>
      <c r="GT59" s="119"/>
      <c r="GU59" s="119"/>
      <c r="GV59" s="119"/>
      <c r="GW59" s="119"/>
      <c r="GX59" s="119"/>
      <c r="GY59" s="119"/>
      <c r="GZ59" s="119"/>
      <c r="HA59" s="119"/>
      <c r="HB59" s="119"/>
      <c r="HC59" s="119"/>
      <c r="HD59" s="119"/>
      <c r="HE59" s="119"/>
      <c r="HF59" s="119"/>
      <c r="HG59" s="119"/>
      <c r="HH59" s="119"/>
      <c r="HI59" s="119"/>
      <c r="HJ59" s="119"/>
      <c r="HK59" s="119"/>
      <c r="HL59" s="119"/>
      <c r="HM59" s="119"/>
      <c r="HN59" s="119"/>
      <c r="HO59" s="119"/>
      <c r="HP59" s="119"/>
      <c r="HQ59" s="119"/>
      <c r="HR59" s="119"/>
      <c r="HS59" s="119"/>
      <c r="HT59" s="119"/>
      <c r="HU59" s="119"/>
      <c r="HV59" s="119"/>
      <c r="HW59" s="119"/>
      <c r="HX59" s="119"/>
      <c r="HY59" s="119"/>
      <c r="HZ59" s="119"/>
      <c r="IA59" s="119"/>
      <c r="IB59" s="119"/>
      <c r="IC59" s="119"/>
      <c r="ID59" s="119"/>
      <c r="IE59" s="119"/>
      <c r="IF59" s="119"/>
    </row>
    <row r="60" spans="1:240" ht="15" x14ac:dyDescent="0.25">
      <c r="A60" s="400" t="s">
        <v>584</v>
      </c>
      <c r="B60" s="402">
        <v>350</v>
      </c>
      <c r="C60" s="402">
        <v>13</v>
      </c>
      <c r="D60" s="402">
        <v>20</v>
      </c>
      <c r="E60" s="402">
        <v>90</v>
      </c>
      <c r="F60" s="403">
        <v>0.2</v>
      </c>
      <c r="G60" s="403">
        <v>0.7</v>
      </c>
    </row>
    <row r="61" spans="1:240" x14ac:dyDescent="0.2">
      <c r="A61" s="407"/>
      <c r="B61" s="407"/>
      <c r="C61" s="407"/>
      <c r="D61" s="407"/>
      <c r="E61" s="407"/>
      <c r="F61" s="670"/>
      <c r="G61" s="670"/>
    </row>
    <row r="62" spans="1:240" ht="15.75" x14ac:dyDescent="0.25">
      <c r="A62" s="389" t="s">
        <v>288</v>
      </c>
      <c r="B62" s="401" t="s">
        <v>14</v>
      </c>
      <c r="C62" s="401" t="s">
        <v>18</v>
      </c>
      <c r="D62" s="401" t="s">
        <v>19</v>
      </c>
      <c r="E62" s="401" t="s">
        <v>17</v>
      </c>
      <c r="F62" s="402" t="s">
        <v>135</v>
      </c>
      <c r="G62" s="402" t="s">
        <v>136</v>
      </c>
    </row>
    <row r="63" spans="1:240" ht="15" x14ac:dyDescent="0.25">
      <c r="A63" s="400" t="s">
        <v>38</v>
      </c>
      <c r="B63" s="402">
        <v>350</v>
      </c>
      <c r="C63" s="402">
        <v>13</v>
      </c>
      <c r="D63" s="402">
        <v>45</v>
      </c>
      <c r="E63" s="402">
        <v>90</v>
      </c>
      <c r="F63" s="403">
        <v>0.7</v>
      </c>
      <c r="G63" s="403">
        <v>1.1000000000000001</v>
      </c>
    </row>
    <row r="64" spans="1:240" ht="15" x14ac:dyDescent="0.25">
      <c r="A64" s="400" t="s">
        <v>40</v>
      </c>
      <c r="B64" s="402">
        <v>230</v>
      </c>
      <c r="C64" s="402">
        <v>12.5</v>
      </c>
      <c r="D64" s="402">
        <v>21</v>
      </c>
      <c r="E64" s="402">
        <v>90</v>
      </c>
      <c r="F64" s="403">
        <v>0.2</v>
      </c>
      <c r="G64" s="403">
        <v>0.7</v>
      </c>
    </row>
    <row r="65" spans="1:7" ht="15" x14ac:dyDescent="0.25">
      <c r="A65" s="400" t="s">
        <v>41</v>
      </c>
      <c r="B65" s="402">
        <v>230</v>
      </c>
      <c r="C65" s="402">
        <v>12.5</v>
      </c>
      <c r="D65" s="402">
        <v>60</v>
      </c>
      <c r="E65" s="402">
        <v>90</v>
      </c>
      <c r="F65" s="403">
        <v>0.3</v>
      </c>
      <c r="G65" s="403">
        <v>0.6</v>
      </c>
    </row>
    <row r="66" spans="1:7" ht="15" x14ac:dyDescent="0.25">
      <c r="A66" s="400" t="s">
        <v>39</v>
      </c>
      <c r="B66" s="402">
        <v>230</v>
      </c>
      <c r="C66" s="402">
        <v>10.5</v>
      </c>
      <c r="D66" s="402">
        <v>41</v>
      </c>
      <c r="E66" s="402">
        <v>90</v>
      </c>
      <c r="F66" s="403">
        <v>0.2</v>
      </c>
      <c r="G66" s="403">
        <v>1.3</v>
      </c>
    </row>
    <row r="67" spans="1:7" ht="15" x14ac:dyDescent="0.25">
      <c r="A67" s="400" t="s">
        <v>44</v>
      </c>
      <c r="B67" s="402">
        <v>230</v>
      </c>
      <c r="C67" s="402">
        <v>11</v>
      </c>
      <c r="D67" s="402">
        <v>45</v>
      </c>
      <c r="E67" s="402">
        <v>90</v>
      </c>
      <c r="F67" s="403">
        <v>0.35</v>
      </c>
      <c r="G67" s="403">
        <v>0.8</v>
      </c>
    </row>
    <row r="68" spans="1:7" ht="15" x14ac:dyDescent="0.25">
      <c r="A68" s="400" t="s">
        <v>42</v>
      </c>
      <c r="B68" s="402">
        <v>230</v>
      </c>
      <c r="C68" s="402">
        <v>12</v>
      </c>
      <c r="D68" s="402">
        <v>50</v>
      </c>
      <c r="E68" s="402">
        <v>90</v>
      </c>
      <c r="F68" s="403">
        <v>0.4</v>
      </c>
      <c r="G68" s="403">
        <v>0.8</v>
      </c>
    </row>
    <row r="69" spans="1:7" ht="15" x14ac:dyDescent="0.25">
      <c r="A69" s="400" t="s">
        <v>43</v>
      </c>
      <c r="B69" s="402">
        <v>230</v>
      </c>
      <c r="C69" s="402">
        <v>10.5</v>
      </c>
      <c r="D69" s="402">
        <v>42</v>
      </c>
      <c r="E69" s="402">
        <v>90</v>
      </c>
      <c r="F69" s="403">
        <v>0.4</v>
      </c>
      <c r="G69" s="403">
        <v>0.8</v>
      </c>
    </row>
    <row r="70" spans="1:7" x14ac:dyDescent="0.2">
      <c r="A70" s="407"/>
      <c r="B70" s="407"/>
      <c r="C70" s="407"/>
      <c r="D70" s="407"/>
      <c r="E70" s="407"/>
      <c r="F70" s="670"/>
      <c r="G70" s="670"/>
    </row>
    <row r="71" spans="1:7" ht="15.75" x14ac:dyDescent="0.25">
      <c r="A71" s="389" t="s">
        <v>289</v>
      </c>
      <c r="B71" s="401" t="s">
        <v>14</v>
      </c>
      <c r="C71" s="401" t="s">
        <v>18</v>
      </c>
      <c r="D71" s="401" t="s">
        <v>19</v>
      </c>
      <c r="E71" s="401" t="s">
        <v>17</v>
      </c>
      <c r="F71" s="402" t="s">
        <v>135</v>
      </c>
      <c r="G71" s="402" t="s">
        <v>136</v>
      </c>
    </row>
    <row r="72" spans="1:7" ht="15" x14ac:dyDescent="0.25">
      <c r="A72" s="400" t="s">
        <v>467</v>
      </c>
      <c r="B72" s="402">
        <v>80</v>
      </c>
      <c r="C72" s="402">
        <v>5</v>
      </c>
      <c r="D72" s="402">
        <v>6</v>
      </c>
      <c r="E72" s="402">
        <v>90</v>
      </c>
      <c r="F72" s="405">
        <v>0.3</v>
      </c>
      <c r="G72" s="405">
        <v>7.0000000000000007E-2</v>
      </c>
    </row>
    <row r="73" spans="1:7" ht="15" x14ac:dyDescent="0.25">
      <c r="A73" s="400" t="s">
        <v>585</v>
      </c>
      <c r="B73" s="402">
        <v>120</v>
      </c>
      <c r="C73" s="402">
        <v>10</v>
      </c>
      <c r="D73" s="402">
        <v>12</v>
      </c>
      <c r="E73" s="402">
        <v>88</v>
      </c>
      <c r="F73" s="405">
        <v>0.2</v>
      </c>
      <c r="G73" s="405">
        <v>0.3</v>
      </c>
    </row>
    <row r="74" spans="1:7" ht="15" x14ac:dyDescent="0.25">
      <c r="A74" s="400" t="s">
        <v>586</v>
      </c>
      <c r="B74" s="402">
        <v>150</v>
      </c>
      <c r="C74" s="402">
        <v>8</v>
      </c>
      <c r="D74" s="402">
        <v>8</v>
      </c>
      <c r="E74" s="402">
        <v>88</v>
      </c>
      <c r="F74" s="405">
        <v>0.2</v>
      </c>
      <c r="G74" s="405">
        <v>0.3</v>
      </c>
    </row>
    <row r="75" spans="1:7" ht="15" x14ac:dyDescent="0.25">
      <c r="A75" s="400" t="s">
        <v>530</v>
      </c>
      <c r="B75" s="402">
        <v>350</v>
      </c>
      <c r="C75" s="402">
        <v>8.5</v>
      </c>
      <c r="D75" s="402">
        <v>17</v>
      </c>
      <c r="E75" s="402">
        <v>90</v>
      </c>
      <c r="F75" s="405">
        <v>1.4</v>
      </c>
      <c r="G75" s="405">
        <v>0.3</v>
      </c>
    </row>
    <row r="76" spans="1:7" ht="15" x14ac:dyDescent="0.25">
      <c r="A76" s="400" t="s">
        <v>531</v>
      </c>
      <c r="B76" s="402">
        <v>300</v>
      </c>
      <c r="C76" s="402">
        <v>8.3000000000000007</v>
      </c>
      <c r="D76" s="402">
        <v>11</v>
      </c>
      <c r="E76" s="402">
        <v>88</v>
      </c>
      <c r="F76" s="405">
        <v>0.8</v>
      </c>
      <c r="G76" s="405">
        <v>0.3</v>
      </c>
    </row>
    <row r="77" spans="1:7" ht="15" x14ac:dyDescent="0.25">
      <c r="A77" s="400" t="s">
        <v>589</v>
      </c>
      <c r="B77" s="402">
        <v>50</v>
      </c>
      <c r="C77" s="402">
        <v>8.5</v>
      </c>
      <c r="D77" s="402">
        <v>7</v>
      </c>
      <c r="E77" s="402">
        <v>40</v>
      </c>
      <c r="F77" s="403">
        <v>0.5</v>
      </c>
      <c r="G77" s="403">
        <v>0.3</v>
      </c>
    </row>
    <row r="78" spans="1:7" ht="15" x14ac:dyDescent="0.25">
      <c r="A78" s="400" t="s">
        <v>578</v>
      </c>
      <c r="B78" s="402">
        <v>60</v>
      </c>
      <c r="C78" s="402">
        <v>10.3</v>
      </c>
      <c r="D78" s="402">
        <v>17.5</v>
      </c>
      <c r="E78" s="402">
        <v>40</v>
      </c>
      <c r="F78" s="403">
        <v>1</v>
      </c>
      <c r="G78" s="403">
        <v>0.3</v>
      </c>
    </row>
    <row r="79" spans="1:7" ht="15" x14ac:dyDescent="0.25">
      <c r="A79" s="400" t="s">
        <v>579</v>
      </c>
      <c r="B79" s="402">
        <v>70</v>
      </c>
      <c r="C79" s="402">
        <v>8.4</v>
      </c>
      <c r="D79" s="402">
        <v>15</v>
      </c>
      <c r="E79" s="402">
        <v>40</v>
      </c>
      <c r="F79" s="403">
        <v>1.4</v>
      </c>
      <c r="G79" s="403">
        <v>0.3</v>
      </c>
    </row>
    <row r="80" spans="1:7" ht="15" x14ac:dyDescent="0.25">
      <c r="A80" s="400" t="s">
        <v>580</v>
      </c>
      <c r="B80" s="402">
        <v>50</v>
      </c>
      <c r="C80" s="402">
        <v>8.5</v>
      </c>
      <c r="D80" s="402">
        <v>8</v>
      </c>
      <c r="E80" s="402">
        <v>40</v>
      </c>
      <c r="F80" s="403">
        <v>0.3</v>
      </c>
      <c r="G80" s="403">
        <v>0.2</v>
      </c>
    </row>
    <row r="81" spans="1:7" ht="15" x14ac:dyDescent="0.25">
      <c r="A81" s="400" t="s">
        <v>581</v>
      </c>
      <c r="B81" s="402">
        <v>50</v>
      </c>
      <c r="C81" s="402">
        <v>8</v>
      </c>
      <c r="D81" s="402">
        <v>8</v>
      </c>
      <c r="E81" s="402">
        <v>40</v>
      </c>
      <c r="F81" s="403">
        <v>0.3</v>
      </c>
      <c r="G81" s="403">
        <v>0.2</v>
      </c>
    </row>
    <row r="82" spans="1:7" x14ac:dyDescent="0.2">
      <c r="A82" s="407"/>
      <c r="B82" s="407"/>
      <c r="C82" s="407"/>
      <c r="D82" s="407"/>
      <c r="E82" s="407"/>
      <c r="F82" s="670"/>
      <c r="G82" s="670"/>
    </row>
    <row r="83" spans="1:7" ht="15.75" x14ac:dyDescent="0.25">
      <c r="A83" s="389" t="s">
        <v>290</v>
      </c>
      <c r="B83" s="401" t="s">
        <v>14</v>
      </c>
      <c r="C83" s="401" t="s">
        <v>18</v>
      </c>
      <c r="D83" s="401" t="s">
        <v>19</v>
      </c>
      <c r="E83" s="401" t="s">
        <v>17</v>
      </c>
      <c r="F83" s="402" t="s">
        <v>135</v>
      </c>
      <c r="G83" s="402" t="s">
        <v>136</v>
      </c>
    </row>
    <row r="84" spans="1:7" ht="15" x14ac:dyDescent="0.25">
      <c r="A84" s="400" t="s">
        <v>26</v>
      </c>
      <c r="B84" s="402">
        <v>350</v>
      </c>
      <c r="C84" s="402">
        <v>0</v>
      </c>
      <c r="D84" s="402">
        <v>0</v>
      </c>
      <c r="E84" s="402">
        <v>100</v>
      </c>
      <c r="F84" s="405">
        <v>0</v>
      </c>
      <c r="G84" s="405">
        <v>0</v>
      </c>
    </row>
    <row r="85" spans="1:7" ht="15" x14ac:dyDescent="0.25">
      <c r="A85" s="400" t="s">
        <v>25</v>
      </c>
      <c r="B85" s="402">
        <v>750</v>
      </c>
      <c r="C85" s="402">
        <v>0</v>
      </c>
      <c r="D85" s="402">
        <v>0</v>
      </c>
      <c r="E85" s="402">
        <v>100</v>
      </c>
      <c r="F85" s="405">
        <v>0</v>
      </c>
      <c r="G85" s="405">
        <v>0</v>
      </c>
    </row>
    <row r="86" spans="1:7" ht="15" x14ac:dyDescent="0.25">
      <c r="A86" s="400" t="s">
        <v>27</v>
      </c>
      <c r="B86" s="402">
        <v>250</v>
      </c>
      <c r="C86" s="402">
        <v>0</v>
      </c>
      <c r="D86" s="402">
        <v>0</v>
      </c>
      <c r="E86" s="402">
        <v>100</v>
      </c>
      <c r="F86" s="405">
        <v>36.1</v>
      </c>
      <c r="G86" s="405">
        <v>0</v>
      </c>
    </row>
    <row r="87" spans="1:7" ht="15" x14ac:dyDescent="0.25">
      <c r="A87" s="400" t="s">
        <v>28</v>
      </c>
      <c r="B87" s="402">
        <v>360</v>
      </c>
      <c r="C87" s="402">
        <v>0</v>
      </c>
      <c r="D87" s="402">
        <v>0</v>
      </c>
      <c r="E87" s="402">
        <v>100</v>
      </c>
      <c r="F87" s="403">
        <v>0</v>
      </c>
      <c r="G87" s="403">
        <v>0</v>
      </c>
    </row>
    <row r="88" spans="1:7" ht="15" x14ac:dyDescent="0.25">
      <c r="A88" s="400" t="s">
        <v>45</v>
      </c>
      <c r="B88" s="402">
        <v>700</v>
      </c>
      <c r="C88" s="402">
        <v>0</v>
      </c>
      <c r="D88" s="402">
        <v>287</v>
      </c>
      <c r="E88" s="402">
        <v>99</v>
      </c>
      <c r="F88" s="403">
        <v>0</v>
      </c>
      <c r="G88" s="403">
        <v>0</v>
      </c>
    </row>
    <row r="89" spans="1:7" ht="15" x14ac:dyDescent="0.25">
      <c r="A89" s="400" t="s">
        <v>36</v>
      </c>
      <c r="B89" s="402">
        <v>1250</v>
      </c>
      <c r="C89" s="402">
        <v>0</v>
      </c>
      <c r="D89" s="402">
        <v>0</v>
      </c>
      <c r="E89" s="402">
        <v>100</v>
      </c>
      <c r="F89" s="403">
        <v>0</v>
      </c>
      <c r="G89" s="403">
        <v>0</v>
      </c>
    </row>
    <row r="90" spans="1:7" ht="15" x14ac:dyDescent="0.25">
      <c r="A90" s="400" t="s">
        <v>29</v>
      </c>
      <c r="B90" s="402">
        <v>700</v>
      </c>
      <c r="C90" s="402">
        <v>13</v>
      </c>
      <c r="D90" s="402">
        <v>4</v>
      </c>
      <c r="E90" s="402">
        <v>76</v>
      </c>
      <c r="F90" s="403">
        <v>0.12</v>
      </c>
      <c r="G90" s="403">
        <v>0.03</v>
      </c>
    </row>
    <row r="91" spans="1:7" ht="15" x14ac:dyDescent="0.25">
      <c r="A91" s="400" t="s">
        <v>34</v>
      </c>
      <c r="B91" s="402">
        <v>2164</v>
      </c>
      <c r="C91" s="402">
        <v>0</v>
      </c>
      <c r="D91" s="402">
        <v>0</v>
      </c>
      <c r="E91" s="402">
        <v>100</v>
      </c>
      <c r="F91" s="403">
        <v>30</v>
      </c>
      <c r="G91" s="403">
        <v>0</v>
      </c>
    </row>
    <row r="92" spans="1:7" ht="15" x14ac:dyDescent="0.25">
      <c r="A92" s="400" t="s">
        <v>582</v>
      </c>
      <c r="B92" s="402">
        <v>900</v>
      </c>
      <c r="C92" s="402">
        <v>0</v>
      </c>
      <c r="D92" s="402">
        <v>0</v>
      </c>
      <c r="E92" s="402">
        <v>100</v>
      </c>
      <c r="F92" s="403">
        <v>0</v>
      </c>
      <c r="G92" s="403">
        <v>0</v>
      </c>
    </row>
    <row r="94" spans="1:7" x14ac:dyDescent="0.2">
      <c r="A94" s="407"/>
      <c r="B94" s="407"/>
      <c r="C94" s="407"/>
      <c r="D94" s="407"/>
      <c r="E94" s="407"/>
      <c r="F94" s="670"/>
      <c r="G94" s="670"/>
    </row>
    <row r="95" spans="1:7" ht="15.75" x14ac:dyDescent="0.25">
      <c r="A95" s="409" t="s">
        <v>474</v>
      </c>
    </row>
    <row r="96" spans="1:7" ht="15" x14ac:dyDescent="0.25">
      <c r="A96" s="422" t="str">
        <f>B29</f>
        <v>Pellet/Mix</v>
      </c>
      <c r="B96" s="422">
        <f>B30</f>
        <v>280</v>
      </c>
      <c r="C96" s="422">
        <f>B31</f>
        <v>13</v>
      </c>
      <c r="D96" s="422">
        <f>B32</f>
        <v>16.5</v>
      </c>
      <c r="E96" s="422">
        <f>B33</f>
        <v>90</v>
      </c>
      <c r="F96" s="422">
        <f>B34</f>
        <v>3</v>
      </c>
      <c r="G96" s="422">
        <f>B35</f>
        <v>1</v>
      </c>
    </row>
    <row r="97" spans="1:7" ht="15" x14ac:dyDescent="0.25">
      <c r="A97" s="422" t="str">
        <f>C29</f>
        <v>Carrots</v>
      </c>
      <c r="B97" s="422">
        <f>C30</f>
        <v>75</v>
      </c>
      <c r="C97" s="422">
        <f>C31</f>
        <v>12</v>
      </c>
      <c r="D97" s="422">
        <f>C32</f>
        <v>8</v>
      </c>
      <c r="E97" s="422">
        <f>C33</f>
        <v>10</v>
      </c>
      <c r="F97" s="422">
        <f>C34</f>
        <v>3</v>
      </c>
      <c r="G97" s="422">
        <f>C35</f>
        <v>1</v>
      </c>
    </row>
    <row r="98" spans="1:7" ht="15" x14ac:dyDescent="0.25">
      <c r="A98" s="422" t="str">
        <f>D29</f>
        <v>Pellets</v>
      </c>
      <c r="B98" s="422">
        <f>D30</f>
        <v>350</v>
      </c>
      <c r="C98" s="422">
        <f>D31</f>
        <v>12</v>
      </c>
      <c r="D98" s="422">
        <f>D32</f>
        <v>14</v>
      </c>
      <c r="E98" s="422">
        <f>D33</f>
        <v>90</v>
      </c>
      <c r="F98" s="422">
        <f>D34</f>
        <v>3</v>
      </c>
      <c r="G98" s="422">
        <f>D35</f>
        <v>1</v>
      </c>
    </row>
    <row r="99" spans="1:7" ht="15" x14ac:dyDescent="0.25">
      <c r="A99" s="422">
        <f>E29</f>
        <v>0</v>
      </c>
      <c r="B99" s="422">
        <f>E30</f>
        <v>0</v>
      </c>
      <c r="C99" s="422">
        <f>E31</f>
        <v>0</v>
      </c>
      <c r="D99" s="422">
        <f>E32</f>
        <v>0</v>
      </c>
      <c r="E99" s="422">
        <f>E33</f>
        <v>0</v>
      </c>
      <c r="F99" s="422">
        <f>E34</f>
        <v>0</v>
      </c>
      <c r="G99" s="422">
        <f>E35</f>
        <v>0</v>
      </c>
    </row>
    <row r="100" spans="1:7" ht="15" x14ac:dyDescent="0.25">
      <c r="A100" s="422">
        <f>F29</f>
        <v>0</v>
      </c>
      <c r="B100" s="422">
        <f>F30</f>
        <v>0</v>
      </c>
      <c r="C100" s="422">
        <f>F31</f>
        <v>0</v>
      </c>
      <c r="D100" s="422">
        <f>F32</f>
        <v>0</v>
      </c>
      <c r="E100" s="422">
        <f>F33</f>
        <v>0</v>
      </c>
      <c r="F100" s="422">
        <f>F34</f>
        <v>0</v>
      </c>
      <c r="G100" s="422">
        <f>F35</f>
        <v>0</v>
      </c>
    </row>
    <row r="101" spans="1:7" ht="15" x14ac:dyDescent="0.25">
      <c r="A101" s="422">
        <f>G29</f>
        <v>0</v>
      </c>
      <c r="B101" s="422">
        <f>G30</f>
        <v>0</v>
      </c>
      <c r="C101" s="422">
        <f>G31</f>
        <v>0</v>
      </c>
      <c r="D101" s="422">
        <f>G32</f>
        <v>0</v>
      </c>
      <c r="E101" s="422">
        <f>G33</f>
        <v>0</v>
      </c>
      <c r="F101" s="422">
        <f>G34</f>
        <v>0</v>
      </c>
      <c r="G101" s="422">
        <f>G35</f>
        <v>0</v>
      </c>
    </row>
    <row r="102" spans="1:7" ht="15" x14ac:dyDescent="0.25">
      <c r="A102" s="422">
        <f>H29</f>
        <v>0</v>
      </c>
      <c r="B102" s="422">
        <f>H30</f>
        <v>0</v>
      </c>
      <c r="C102" s="422">
        <f>H31</f>
        <v>0</v>
      </c>
      <c r="D102" s="422">
        <f>H32</f>
        <v>0</v>
      </c>
      <c r="E102" s="422">
        <f>H33</f>
        <v>0</v>
      </c>
      <c r="F102" s="422">
        <f>H34</f>
        <v>0</v>
      </c>
      <c r="G102" s="422">
        <f>H35</f>
        <v>0</v>
      </c>
    </row>
    <row r="103" spans="1:7" ht="15" x14ac:dyDescent="0.25">
      <c r="A103" s="422">
        <f>I29</f>
        <v>0</v>
      </c>
      <c r="B103" s="422">
        <f>I30</f>
        <v>0</v>
      </c>
      <c r="C103" s="422">
        <f>I31</f>
        <v>0</v>
      </c>
      <c r="D103" s="422">
        <f>I32</f>
        <v>0</v>
      </c>
      <c r="E103" s="422">
        <f>I33</f>
        <v>0</v>
      </c>
      <c r="F103" s="422">
        <f>I34</f>
        <v>0</v>
      </c>
      <c r="G103" s="422">
        <f>I35</f>
        <v>0</v>
      </c>
    </row>
    <row r="104" spans="1:7" ht="15" x14ac:dyDescent="0.25">
      <c r="A104" s="422">
        <f>J29</f>
        <v>0</v>
      </c>
      <c r="B104" s="422">
        <f>J30</f>
        <v>0</v>
      </c>
      <c r="C104" s="422">
        <f>J31</f>
        <v>0</v>
      </c>
      <c r="D104" s="422">
        <f>J32</f>
        <v>0</v>
      </c>
      <c r="E104" s="422">
        <f>J33</f>
        <v>0</v>
      </c>
      <c r="F104" s="422">
        <f>J34</f>
        <v>0</v>
      </c>
      <c r="G104" s="422">
        <f>J35</f>
        <v>0</v>
      </c>
    </row>
    <row r="105" spans="1:7" ht="15" x14ac:dyDescent="0.25">
      <c r="A105" s="422">
        <f>K29</f>
        <v>0</v>
      </c>
      <c r="B105" s="422">
        <f>K30</f>
        <v>0</v>
      </c>
      <c r="C105" s="422">
        <f>K31</f>
        <v>0</v>
      </c>
      <c r="D105" s="422">
        <f>K32</f>
        <v>0</v>
      </c>
      <c r="E105" s="422">
        <f>K33</f>
        <v>0</v>
      </c>
      <c r="F105" s="422">
        <f>K34</f>
        <v>0</v>
      </c>
      <c r="G105" s="422">
        <f>K35</f>
        <v>0</v>
      </c>
    </row>
    <row r="106" spans="1:7" ht="15" x14ac:dyDescent="0.25">
      <c r="A106" s="422">
        <f>L29</f>
        <v>0</v>
      </c>
      <c r="B106" s="422">
        <f>L30</f>
        <v>0</v>
      </c>
      <c r="C106" s="422">
        <f>L31</f>
        <v>0</v>
      </c>
      <c r="D106" s="422">
        <f>L32</f>
        <v>0</v>
      </c>
      <c r="E106" s="422">
        <f>L33</f>
        <v>0</v>
      </c>
      <c r="F106" s="422">
        <f>L34</f>
        <v>0</v>
      </c>
      <c r="G106" s="422">
        <f>L35</f>
        <v>0</v>
      </c>
    </row>
    <row r="107" spans="1:7" x14ac:dyDescent="0.2">
      <c r="A107" s="119"/>
    </row>
    <row r="108" spans="1:7" x14ac:dyDescent="0.2">
      <c r="A108" s="119"/>
    </row>
  </sheetData>
  <sheetProtection password="BEC1" sheet="1" selectLockedCells="1"/>
  <mergeCells count="2">
    <mergeCell ref="B15:G15"/>
    <mergeCell ref="H15:L15"/>
  </mergeCells>
  <phoneticPr fontId="87" type="noConversion"/>
  <dataValidations count="5">
    <dataValidation type="list" allowBlank="1" showInputMessage="1" showErrorMessage="1" error="Feed not on standard list - ADD in other feeds below" sqref="B9:H9">
      <formula1>$A$63:$A$69</formula1>
    </dataValidation>
    <dataValidation type="list" allowBlank="1" showInputMessage="1" showErrorMessage="1" error="Feed not on standard list - ADD in other feeds below" sqref="B16:G16">
      <formula1>$A$72:$A$76</formula1>
    </dataValidation>
    <dataValidation type="list" allowBlank="1" showInputMessage="1" showErrorMessage="1" error="Feed not on standard list - ADD in other feeds below" sqref="B3:L3">
      <formula1>$A$50:$A$60</formula1>
    </dataValidation>
    <dataValidation type="list" allowBlank="1" showInputMessage="1" showErrorMessage="1" sqref="H16:L16">
      <formula1>$A$77:$A$81</formula1>
    </dataValidation>
    <dataValidation type="list" allowBlank="1" showInputMessage="1" showErrorMessage="1" error="Feed not on standard list - ADD in other feeds belowIngredient not on standard list - ADD it in OTHER FEEDS section below" sqref="B22:J22">
      <formula1>$A$83:$A$92</formula1>
    </dataValidation>
  </dataValidations>
  <pageMargins left="0.39370078740157477" right="0.39370078740157477" top="0.39370078740157477" bottom="0.39370078740157477" header="0.19685039370078738" footer="0.19685039370078738"/>
  <pageSetup paperSize="9" scale="58" orientation="landscape" blackAndWhite="1" r:id="rId1"/>
  <headerFooter alignWithMargins="0"/>
  <drawing r:id="rId2"/>
  <legacyDrawing r:id="rId3"/>
  <controls>
    <mc:AlternateContent xmlns:mc="http://schemas.openxmlformats.org/markup-compatibility/2006">
      <mc:Choice Requires="x14">
        <control shapeId="30726" r:id="rId4" name="CommandButton2">
          <controlPr defaultSize="0" autoLine="0" autoPict="0" r:id="rId5">
            <anchor moveWithCells="1">
              <from>
                <xdr:col>7</xdr:col>
                <xdr:colOff>333375</xdr:colOff>
                <xdr:row>36</xdr:row>
                <xdr:rowOff>190500</xdr:rowOff>
              </from>
              <to>
                <xdr:col>10</xdr:col>
                <xdr:colOff>219075</xdr:colOff>
                <xdr:row>38</xdr:row>
                <xdr:rowOff>9525</xdr:rowOff>
              </to>
            </anchor>
          </controlPr>
        </control>
      </mc:Choice>
      <mc:Fallback>
        <control shapeId="30726" r:id="rId4" name="CommandButton2"/>
      </mc:Fallback>
    </mc:AlternateContent>
  </control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76"/>
  <sheetViews>
    <sheetView zoomScale="75" workbookViewId="0">
      <selection activeCell="U29" sqref="U29"/>
    </sheetView>
  </sheetViews>
  <sheetFormatPr defaultRowHeight="12.75" x14ac:dyDescent="0.2"/>
  <sheetData>
    <row r="1" spans="1:24" x14ac:dyDescent="0.2">
      <c r="A1" s="686"/>
      <c r="B1" s="686"/>
      <c r="C1" s="686"/>
      <c r="D1" s="686"/>
      <c r="E1" s="686"/>
      <c r="F1" s="686"/>
      <c r="G1" s="686"/>
      <c r="H1" s="686"/>
      <c r="I1" s="686"/>
      <c r="J1" s="686"/>
      <c r="K1" s="686"/>
      <c r="L1" s="686"/>
      <c r="M1" s="686"/>
      <c r="N1" s="686"/>
      <c r="O1" s="686"/>
      <c r="P1" s="686"/>
      <c r="Q1" s="686"/>
      <c r="R1" s="686"/>
      <c r="S1" s="686"/>
      <c r="T1" s="686"/>
      <c r="U1" s="686"/>
      <c r="V1" s="686"/>
      <c r="W1" s="686"/>
      <c r="X1" s="686"/>
    </row>
    <row r="2" spans="1:24" x14ac:dyDescent="0.2">
      <c r="A2" s="686"/>
      <c r="B2" s="686"/>
      <c r="C2" s="686"/>
      <c r="D2" s="686"/>
      <c r="E2" s="686"/>
      <c r="F2" s="686"/>
      <c r="G2" s="686"/>
      <c r="H2" s="686"/>
      <c r="I2" s="686"/>
      <c r="J2" s="686"/>
      <c r="K2" s="686"/>
      <c r="L2" s="686"/>
      <c r="M2" s="686"/>
      <c r="N2" s="686"/>
      <c r="O2" s="686"/>
      <c r="P2" s="686"/>
      <c r="Q2" s="686"/>
      <c r="R2" s="686"/>
      <c r="S2" s="686"/>
      <c r="T2" s="686"/>
      <c r="U2" s="686"/>
      <c r="V2" s="686"/>
      <c r="W2" s="686"/>
      <c r="X2" s="686"/>
    </row>
    <row r="3" spans="1:24" x14ac:dyDescent="0.2">
      <c r="A3" s="686"/>
      <c r="B3" s="686"/>
      <c r="C3" s="686"/>
      <c r="D3" s="686"/>
      <c r="E3" s="686"/>
      <c r="F3" s="686"/>
      <c r="G3" s="686"/>
      <c r="H3" s="686"/>
      <c r="I3" s="686"/>
      <c r="J3" s="686"/>
      <c r="K3" s="686"/>
      <c r="L3" s="686"/>
      <c r="M3" s="686"/>
      <c r="N3" s="686"/>
      <c r="O3" s="686"/>
      <c r="P3" s="686"/>
      <c r="Q3" s="686"/>
      <c r="R3" s="686"/>
      <c r="S3" s="686"/>
      <c r="T3" s="686"/>
      <c r="U3" s="686"/>
      <c r="V3" s="686"/>
      <c r="W3" s="686"/>
      <c r="X3" s="686"/>
    </row>
    <row r="4" spans="1:24" x14ac:dyDescent="0.2">
      <c r="A4" s="686"/>
      <c r="B4" s="686"/>
      <c r="C4" s="686"/>
      <c r="D4" s="686"/>
      <c r="E4" s="686"/>
      <c r="F4" s="686"/>
      <c r="G4" s="686"/>
      <c r="H4" s="686"/>
      <c r="I4" s="686"/>
      <c r="J4" s="686"/>
      <c r="K4" s="686"/>
      <c r="L4" s="686"/>
      <c r="M4" s="686"/>
      <c r="N4" s="686"/>
      <c r="O4" s="686"/>
      <c r="P4" s="686"/>
      <c r="Q4" s="686"/>
      <c r="R4" s="686"/>
      <c r="S4" s="686"/>
      <c r="T4" s="686"/>
      <c r="U4" s="686"/>
      <c r="V4" s="686"/>
      <c r="W4" s="686"/>
      <c r="X4" s="686"/>
    </row>
    <row r="5" spans="1:24" x14ac:dyDescent="0.2">
      <c r="A5" s="686"/>
      <c r="B5" s="686"/>
      <c r="C5" s="686"/>
      <c r="D5" s="686"/>
      <c r="E5" s="686"/>
      <c r="F5" s="686"/>
      <c r="G5" s="686"/>
      <c r="H5" s="686"/>
      <c r="I5" s="686"/>
      <c r="J5" s="686"/>
      <c r="K5" s="686"/>
      <c r="L5" s="686"/>
      <c r="M5" s="686"/>
      <c r="N5" s="686"/>
      <c r="O5" s="686"/>
      <c r="P5" s="686"/>
      <c r="Q5" s="686"/>
      <c r="R5" s="686"/>
      <c r="S5" s="686"/>
      <c r="T5" s="686"/>
      <c r="U5" s="686"/>
      <c r="V5" s="686"/>
      <c r="W5" s="686"/>
      <c r="X5" s="686"/>
    </row>
    <row r="6" spans="1:24" x14ac:dyDescent="0.2">
      <c r="A6" s="686"/>
      <c r="B6" s="686"/>
      <c r="C6" s="686"/>
      <c r="D6" s="686"/>
      <c r="E6" s="686"/>
      <c r="F6" s="686"/>
      <c r="G6" s="686"/>
      <c r="H6" s="686"/>
      <c r="I6" s="686"/>
      <c r="J6" s="686"/>
      <c r="K6" s="686"/>
      <c r="L6" s="686"/>
      <c r="M6" s="686"/>
      <c r="N6" s="686"/>
      <c r="O6" s="686"/>
      <c r="P6" s="686"/>
      <c r="Q6" s="686"/>
      <c r="R6" s="686"/>
      <c r="S6" s="686"/>
      <c r="T6" s="686"/>
      <c r="U6" s="686"/>
      <c r="V6" s="686"/>
      <c r="W6" s="686"/>
      <c r="X6" s="686"/>
    </row>
    <row r="7" spans="1:24" x14ac:dyDescent="0.2">
      <c r="A7" s="686"/>
      <c r="B7" s="686"/>
      <c r="C7" s="686"/>
      <c r="D7" s="686"/>
      <c r="E7" s="686"/>
      <c r="F7" s="686"/>
      <c r="G7" s="686"/>
      <c r="H7" s="686"/>
      <c r="I7" s="686"/>
      <c r="J7" s="686"/>
      <c r="K7" s="686"/>
      <c r="L7" s="686"/>
      <c r="M7" s="686"/>
      <c r="N7" s="686"/>
      <c r="O7" s="686"/>
      <c r="P7" s="686"/>
      <c r="Q7" s="686"/>
      <c r="R7" s="686"/>
      <c r="S7" s="686"/>
      <c r="T7" s="686"/>
      <c r="U7" s="686"/>
      <c r="V7" s="686"/>
      <c r="W7" s="686"/>
      <c r="X7" s="686"/>
    </row>
    <row r="8" spans="1:24" x14ac:dyDescent="0.2">
      <c r="A8" s="686"/>
      <c r="B8" s="686"/>
      <c r="C8" s="686"/>
      <c r="D8" s="686"/>
      <c r="E8" s="686"/>
      <c r="F8" s="686"/>
      <c r="G8" s="686"/>
      <c r="H8" s="686"/>
      <c r="I8" s="686"/>
      <c r="J8" s="686"/>
      <c r="K8" s="686"/>
      <c r="L8" s="686"/>
      <c r="M8" s="686"/>
      <c r="N8" s="686"/>
      <c r="O8" s="686"/>
      <c r="P8" s="686"/>
      <c r="Q8" s="686"/>
      <c r="R8" s="686"/>
      <c r="S8" s="686"/>
      <c r="T8" s="686"/>
      <c r="U8" s="686"/>
      <c r="V8" s="686"/>
      <c r="W8" s="686"/>
      <c r="X8" s="686"/>
    </row>
    <row r="9" spans="1:24" x14ac:dyDescent="0.2">
      <c r="A9" s="686"/>
      <c r="B9" s="686"/>
      <c r="C9" s="686"/>
      <c r="D9" s="686"/>
      <c r="E9" s="686"/>
      <c r="F9" s="686"/>
      <c r="G9" s="686"/>
      <c r="H9" s="686"/>
      <c r="I9" s="686"/>
      <c r="J9" s="686"/>
      <c r="K9" s="686"/>
      <c r="L9" s="686"/>
      <c r="M9" s="686"/>
      <c r="N9" s="686"/>
      <c r="O9" s="686"/>
      <c r="P9" s="686"/>
      <c r="Q9" s="686"/>
      <c r="R9" s="686"/>
      <c r="S9" s="686"/>
      <c r="T9" s="686"/>
      <c r="U9" s="686"/>
      <c r="V9" s="686"/>
      <c r="W9" s="686"/>
      <c r="X9" s="686"/>
    </row>
    <row r="10" spans="1:24" x14ac:dyDescent="0.2">
      <c r="A10" s="686"/>
      <c r="B10" s="686"/>
      <c r="C10" s="686"/>
      <c r="D10" s="686"/>
      <c r="E10" s="686"/>
      <c r="F10" s="686"/>
      <c r="G10" s="686"/>
      <c r="H10" s="686"/>
      <c r="I10" s="686"/>
      <c r="J10" s="686"/>
      <c r="K10" s="686"/>
      <c r="L10" s="686"/>
      <c r="M10" s="686"/>
      <c r="N10" s="686"/>
      <c r="O10" s="686"/>
      <c r="P10" s="686"/>
      <c r="Q10" s="686"/>
      <c r="R10" s="686"/>
      <c r="S10" s="686"/>
      <c r="T10" s="686"/>
      <c r="U10" s="686"/>
      <c r="V10" s="686"/>
      <c r="W10" s="686"/>
      <c r="X10" s="686"/>
    </row>
    <row r="11" spans="1:24" x14ac:dyDescent="0.2">
      <c r="A11" s="686"/>
      <c r="B11" s="686"/>
      <c r="C11" s="686"/>
      <c r="D11" s="686"/>
      <c r="E11" s="686"/>
      <c r="F11" s="686"/>
      <c r="G11" s="686"/>
      <c r="H11" s="686"/>
      <c r="I11" s="686"/>
      <c r="J11" s="686"/>
      <c r="K11" s="686"/>
      <c r="L11" s="686"/>
      <c r="M11" s="686"/>
      <c r="N11" s="686"/>
      <c r="O11" s="686"/>
      <c r="P11" s="686"/>
      <c r="Q11" s="686"/>
      <c r="R11" s="686"/>
      <c r="S11" s="686"/>
      <c r="T11" s="686"/>
      <c r="U11" s="686"/>
      <c r="V11" s="686"/>
      <c r="W11" s="686"/>
      <c r="X11" s="686"/>
    </row>
    <row r="12" spans="1:24" x14ac:dyDescent="0.2">
      <c r="A12" s="686"/>
      <c r="B12" s="686"/>
      <c r="C12" s="686"/>
      <c r="D12" s="686"/>
      <c r="E12" s="686"/>
      <c r="F12" s="686"/>
      <c r="G12" s="686"/>
      <c r="H12" s="686"/>
      <c r="I12" s="686"/>
      <c r="J12" s="686"/>
      <c r="K12" s="686"/>
      <c r="L12" s="686"/>
      <c r="M12" s="686"/>
      <c r="N12" s="686"/>
      <c r="O12" s="686"/>
      <c r="P12" s="686"/>
      <c r="Q12" s="686"/>
      <c r="R12" s="686"/>
      <c r="S12" s="686"/>
      <c r="T12" s="686"/>
      <c r="U12" s="686"/>
      <c r="V12" s="686"/>
      <c r="W12" s="686"/>
      <c r="X12" s="686"/>
    </row>
    <row r="13" spans="1:24" x14ac:dyDescent="0.2">
      <c r="A13" s="686"/>
      <c r="B13" s="686"/>
      <c r="C13" s="686"/>
      <c r="D13" s="686"/>
      <c r="E13" s="686"/>
      <c r="F13" s="686"/>
      <c r="G13" s="686"/>
      <c r="H13" s="686"/>
      <c r="I13" s="686"/>
      <c r="J13" s="686"/>
      <c r="K13" s="686"/>
      <c r="L13" s="686"/>
      <c r="M13" s="686"/>
      <c r="N13" s="686"/>
      <c r="O13" s="686"/>
      <c r="P13" s="686"/>
      <c r="Q13" s="686"/>
      <c r="R13" s="686"/>
      <c r="S13" s="686"/>
      <c r="T13" s="686"/>
      <c r="U13" s="686"/>
      <c r="V13" s="686"/>
      <c r="W13" s="686"/>
      <c r="X13" s="686"/>
    </row>
    <row r="14" spans="1:24" x14ac:dyDescent="0.2">
      <c r="A14" s="686"/>
      <c r="B14" s="686"/>
      <c r="C14" s="686"/>
      <c r="D14" s="686"/>
      <c r="E14" s="686"/>
      <c r="F14" s="686"/>
      <c r="G14" s="686"/>
      <c r="H14" s="686"/>
      <c r="I14" s="686"/>
      <c r="J14" s="686"/>
      <c r="K14" s="686"/>
      <c r="L14" s="686"/>
      <c r="M14" s="686"/>
      <c r="N14" s="686"/>
      <c r="O14" s="686"/>
      <c r="P14" s="686"/>
      <c r="Q14" s="686"/>
      <c r="R14" s="686"/>
      <c r="S14" s="686"/>
      <c r="T14" s="686"/>
      <c r="U14" s="686"/>
      <c r="V14" s="686"/>
      <c r="W14" s="686"/>
      <c r="X14" s="686"/>
    </row>
    <row r="15" spans="1:24" x14ac:dyDescent="0.2">
      <c r="A15" s="686"/>
      <c r="B15" s="686"/>
      <c r="C15" s="686"/>
      <c r="D15" s="686"/>
      <c r="E15" s="686"/>
      <c r="F15" s="686"/>
      <c r="G15" s="686"/>
      <c r="H15" s="686"/>
      <c r="I15" s="686"/>
      <c r="J15" s="686"/>
      <c r="K15" s="686"/>
      <c r="L15" s="686"/>
      <c r="M15" s="686"/>
      <c r="N15" s="686"/>
      <c r="O15" s="686"/>
      <c r="P15" s="686"/>
      <c r="Q15" s="686"/>
      <c r="R15" s="686"/>
      <c r="S15" s="686"/>
      <c r="T15" s="686"/>
      <c r="U15" s="686"/>
      <c r="V15" s="686"/>
      <c r="W15" s="686"/>
      <c r="X15" s="686"/>
    </row>
    <row r="16" spans="1:24" x14ac:dyDescent="0.2">
      <c r="A16" s="686"/>
      <c r="B16" s="686"/>
      <c r="C16" s="686"/>
      <c r="D16" s="686"/>
      <c r="E16" s="686"/>
      <c r="F16" s="686"/>
      <c r="G16" s="686"/>
      <c r="H16" s="686"/>
      <c r="I16" s="686"/>
      <c r="J16" s="686"/>
      <c r="K16" s="686"/>
      <c r="L16" s="686"/>
      <c r="M16" s="686"/>
      <c r="N16" s="686"/>
      <c r="O16" s="686"/>
      <c r="P16" s="686"/>
      <c r="Q16" s="686"/>
      <c r="R16" s="686"/>
      <c r="S16" s="686"/>
      <c r="T16" s="686"/>
      <c r="U16" s="686"/>
      <c r="V16" s="686"/>
      <c r="W16" s="686"/>
      <c r="X16" s="686"/>
    </row>
    <row r="17" spans="1:24" x14ac:dyDescent="0.2">
      <c r="A17" s="686"/>
      <c r="B17" s="686"/>
      <c r="C17" s="686"/>
      <c r="D17" s="686"/>
      <c r="E17" s="686"/>
      <c r="F17" s="686"/>
      <c r="G17" s="686"/>
      <c r="H17" s="686"/>
      <c r="I17" s="686"/>
      <c r="J17" s="686"/>
      <c r="K17" s="686"/>
      <c r="L17" s="686"/>
      <c r="M17" s="686"/>
      <c r="N17" s="686"/>
      <c r="O17" s="686"/>
      <c r="P17" s="686"/>
      <c r="Q17" s="686"/>
      <c r="R17" s="686"/>
      <c r="S17" s="686"/>
      <c r="T17" s="686"/>
      <c r="U17" s="686"/>
      <c r="V17" s="686"/>
      <c r="W17" s="686"/>
      <c r="X17" s="686"/>
    </row>
    <row r="18" spans="1:24" x14ac:dyDescent="0.2">
      <c r="A18" s="686"/>
      <c r="B18" s="686"/>
      <c r="C18" s="686"/>
      <c r="D18" s="686"/>
      <c r="E18" s="686"/>
      <c r="F18" s="686"/>
      <c r="G18" s="686"/>
      <c r="H18" s="686"/>
      <c r="I18" s="686"/>
      <c r="J18" s="686"/>
      <c r="K18" s="686"/>
      <c r="L18" s="686"/>
      <c r="M18" s="686"/>
      <c r="N18" s="686"/>
      <c r="O18" s="686"/>
      <c r="P18" s="686"/>
      <c r="Q18" s="686"/>
      <c r="R18" s="686"/>
      <c r="S18" s="686"/>
      <c r="T18" s="686"/>
      <c r="U18" s="686"/>
      <c r="V18" s="686"/>
      <c r="W18" s="686"/>
      <c r="X18" s="686"/>
    </row>
    <row r="19" spans="1:24" x14ac:dyDescent="0.2">
      <c r="A19" s="686"/>
      <c r="B19" s="686"/>
      <c r="C19" s="686"/>
      <c r="D19" s="686"/>
      <c r="E19" s="686"/>
      <c r="F19" s="686"/>
      <c r="G19" s="686"/>
      <c r="H19" s="686"/>
      <c r="I19" s="686"/>
      <c r="J19" s="686"/>
      <c r="K19" s="686"/>
      <c r="L19" s="686"/>
      <c r="M19" s="686"/>
      <c r="N19" s="686"/>
      <c r="O19" s="686"/>
      <c r="P19" s="686"/>
      <c r="Q19" s="686"/>
      <c r="R19" s="686"/>
      <c r="S19" s="686"/>
      <c r="T19" s="686"/>
      <c r="U19" s="686"/>
      <c r="V19" s="686"/>
      <c r="W19" s="686"/>
      <c r="X19" s="686"/>
    </row>
    <row r="20" spans="1:24" x14ac:dyDescent="0.2">
      <c r="A20" s="686"/>
      <c r="B20" s="686"/>
      <c r="C20" s="686"/>
      <c r="D20" s="686"/>
      <c r="E20" s="686"/>
      <c r="F20" s="686"/>
      <c r="G20" s="686"/>
      <c r="H20" s="686"/>
      <c r="I20" s="686"/>
      <c r="J20" s="686"/>
      <c r="K20" s="686"/>
      <c r="L20" s="686"/>
      <c r="M20" s="686"/>
      <c r="N20" s="686"/>
      <c r="O20" s="686"/>
      <c r="P20" s="686"/>
      <c r="Q20" s="686"/>
      <c r="R20" s="686"/>
      <c r="S20" s="686"/>
      <c r="T20" s="686"/>
      <c r="U20" s="686"/>
      <c r="V20" s="686"/>
      <c r="W20" s="686"/>
      <c r="X20" s="686"/>
    </row>
    <row r="21" spans="1:24" x14ac:dyDescent="0.2">
      <c r="A21" s="686"/>
      <c r="B21" s="686"/>
      <c r="C21" s="686"/>
      <c r="D21" s="686"/>
      <c r="E21" s="686"/>
      <c r="F21" s="686"/>
      <c r="G21" s="686"/>
      <c r="H21" s="686"/>
      <c r="I21" s="686"/>
      <c r="J21" s="686"/>
      <c r="K21" s="686"/>
      <c r="L21" s="686"/>
      <c r="M21" s="686"/>
      <c r="N21" s="686"/>
      <c r="O21" s="686"/>
      <c r="P21" s="686"/>
      <c r="Q21" s="686"/>
      <c r="R21" s="686"/>
      <c r="S21" s="686"/>
      <c r="T21" s="686"/>
      <c r="U21" s="686"/>
      <c r="V21" s="686"/>
      <c r="W21" s="686"/>
      <c r="X21" s="686"/>
    </row>
    <row r="22" spans="1:24" x14ac:dyDescent="0.2">
      <c r="A22" s="686"/>
      <c r="B22" s="686"/>
      <c r="C22" s="686"/>
      <c r="D22" s="686"/>
      <c r="E22" s="686"/>
      <c r="F22" s="686"/>
      <c r="G22" s="686"/>
      <c r="H22" s="686"/>
      <c r="I22" s="686"/>
      <c r="J22" s="686"/>
      <c r="K22" s="686"/>
      <c r="L22" s="686"/>
      <c r="M22" s="686"/>
      <c r="N22" s="686"/>
      <c r="O22" s="686"/>
      <c r="P22" s="686"/>
      <c r="Q22" s="686"/>
      <c r="R22" s="686"/>
      <c r="S22" s="686"/>
      <c r="T22" s="686"/>
      <c r="U22" s="686"/>
      <c r="V22" s="686"/>
      <c r="W22" s="686"/>
      <c r="X22" s="686"/>
    </row>
    <row r="23" spans="1:24" x14ac:dyDescent="0.2">
      <c r="A23" s="686"/>
      <c r="B23" s="686"/>
      <c r="C23" s="686"/>
      <c r="D23" s="686"/>
      <c r="E23" s="686"/>
      <c r="F23" s="686"/>
      <c r="G23" s="686"/>
      <c r="H23" s="686"/>
      <c r="I23" s="686"/>
      <c r="J23" s="686"/>
      <c r="K23" s="686"/>
      <c r="L23" s="686"/>
      <c r="M23" s="686"/>
      <c r="N23" s="686"/>
      <c r="O23" s="686"/>
      <c r="P23" s="686"/>
      <c r="Q23" s="686"/>
      <c r="R23" s="686"/>
      <c r="S23" s="686"/>
      <c r="T23" s="686"/>
      <c r="U23" s="686"/>
      <c r="V23" s="686"/>
      <c r="W23" s="686"/>
      <c r="X23" s="686"/>
    </row>
    <row r="24" spans="1:24" x14ac:dyDescent="0.2">
      <c r="A24" s="686"/>
      <c r="B24" s="686"/>
      <c r="C24" s="686"/>
      <c r="D24" s="686"/>
      <c r="E24" s="686"/>
      <c r="F24" s="686"/>
      <c r="G24" s="686"/>
      <c r="H24" s="686"/>
      <c r="I24" s="686"/>
      <c r="J24" s="686"/>
      <c r="K24" s="686"/>
      <c r="L24" s="686"/>
      <c r="M24" s="686"/>
      <c r="N24" s="686"/>
      <c r="O24" s="686"/>
      <c r="P24" s="686"/>
      <c r="Q24" s="686"/>
      <c r="R24" s="686"/>
      <c r="S24" s="686"/>
      <c r="T24" s="686"/>
      <c r="U24" s="686"/>
      <c r="V24" s="686"/>
      <c r="W24" s="686"/>
      <c r="X24" s="686"/>
    </row>
    <row r="25" spans="1:24" x14ac:dyDescent="0.2">
      <c r="A25" s="686"/>
      <c r="B25" s="686"/>
      <c r="C25" s="686"/>
      <c r="D25" s="686"/>
      <c r="E25" s="686"/>
      <c r="F25" s="686"/>
      <c r="G25" s="686"/>
      <c r="H25" s="686"/>
      <c r="I25" s="686"/>
      <c r="J25" s="686"/>
      <c r="K25" s="686"/>
      <c r="L25" s="686"/>
      <c r="M25" s="686"/>
      <c r="N25" s="686"/>
      <c r="O25" s="686"/>
      <c r="P25" s="686"/>
      <c r="Q25" s="686"/>
      <c r="R25" s="686"/>
      <c r="S25" s="686"/>
      <c r="T25" s="686"/>
      <c r="U25" s="686"/>
      <c r="V25" s="686"/>
      <c r="W25" s="686"/>
      <c r="X25" s="686"/>
    </row>
    <row r="26" spans="1:24" x14ac:dyDescent="0.2">
      <c r="A26" s="686"/>
      <c r="B26" s="686"/>
      <c r="C26" s="686"/>
      <c r="D26" s="686"/>
      <c r="E26" s="686"/>
      <c r="F26" s="686"/>
      <c r="G26" s="686"/>
      <c r="H26" s="686"/>
      <c r="I26" s="686"/>
      <c r="J26" s="686"/>
      <c r="K26" s="686"/>
      <c r="L26" s="686"/>
      <c r="M26" s="686"/>
      <c r="N26" s="686"/>
      <c r="O26" s="686"/>
      <c r="P26" s="686"/>
      <c r="Q26" s="686"/>
      <c r="R26" s="686"/>
      <c r="S26" s="686"/>
      <c r="T26" s="686"/>
      <c r="U26" s="686"/>
      <c r="V26" s="686"/>
      <c r="W26" s="686"/>
      <c r="X26" s="686"/>
    </row>
    <row r="27" spans="1:24" x14ac:dyDescent="0.2">
      <c r="A27" s="686"/>
      <c r="B27" s="686"/>
      <c r="C27" s="686"/>
      <c r="D27" s="686"/>
      <c r="E27" s="686"/>
      <c r="F27" s="686"/>
      <c r="G27" s="686"/>
      <c r="H27" s="686"/>
      <c r="I27" s="686"/>
      <c r="J27" s="686"/>
      <c r="K27" s="686"/>
      <c r="L27" s="686"/>
      <c r="M27" s="686"/>
      <c r="N27" s="686"/>
      <c r="O27" s="686"/>
      <c r="P27" s="686"/>
      <c r="Q27" s="686"/>
      <c r="R27" s="686"/>
      <c r="S27" s="686"/>
      <c r="T27" s="686"/>
      <c r="U27" s="686"/>
      <c r="V27" s="686"/>
      <c r="W27" s="686"/>
      <c r="X27" s="686"/>
    </row>
    <row r="28" spans="1:24" x14ac:dyDescent="0.2">
      <c r="A28" s="686"/>
      <c r="B28" s="686"/>
      <c r="C28" s="686"/>
      <c r="D28" s="686"/>
      <c r="E28" s="686"/>
      <c r="F28" s="686"/>
      <c r="G28" s="686"/>
      <c r="H28" s="686"/>
      <c r="I28" s="686"/>
      <c r="J28" s="686"/>
      <c r="K28" s="686"/>
      <c r="L28" s="686"/>
      <c r="M28" s="686"/>
      <c r="N28" s="686"/>
      <c r="O28" s="686"/>
      <c r="P28" s="686"/>
      <c r="Q28" s="686"/>
      <c r="R28" s="686"/>
      <c r="S28" s="686"/>
      <c r="T28" s="686"/>
      <c r="U28" s="686"/>
      <c r="V28" s="686"/>
      <c r="W28" s="686"/>
      <c r="X28" s="686"/>
    </row>
    <row r="29" spans="1:24" x14ac:dyDescent="0.2">
      <c r="A29" s="686"/>
      <c r="B29" s="686"/>
      <c r="C29" s="686"/>
      <c r="D29" s="686"/>
      <c r="E29" s="686"/>
      <c r="F29" s="686"/>
      <c r="G29" s="686"/>
      <c r="H29" s="686"/>
      <c r="I29" s="686"/>
      <c r="J29" s="686"/>
      <c r="K29" s="686"/>
      <c r="L29" s="686"/>
      <c r="M29" s="686"/>
      <c r="N29" s="686"/>
      <c r="O29" s="686"/>
      <c r="P29" s="686"/>
      <c r="Q29" s="686"/>
      <c r="R29" s="686"/>
      <c r="S29" s="686"/>
      <c r="T29" s="686"/>
      <c r="U29" s="686"/>
      <c r="V29" s="686"/>
      <c r="W29" s="686"/>
      <c r="X29" s="686"/>
    </row>
    <row r="30" spans="1:24" x14ac:dyDescent="0.2">
      <c r="A30" s="686"/>
      <c r="B30" s="686"/>
      <c r="C30" s="686"/>
      <c r="D30" s="686"/>
      <c r="E30" s="686"/>
      <c r="F30" s="686"/>
      <c r="G30" s="686"/>
      <c r="H30" s="686"/>
      <c r="I30" s="686"/>
      <c r="J30" s="686"/>
      <c r="K30" s="686"/>
      <c r="L30" s="686"/>
      <c r="M30" s="686"/>
      <c r="N30" s="686"/>
      <c r="O30" s="686"/>
      <c r="P30" s="686"/>
      <c r="Q30" s="686"/>
      <c r="R30" s="686"/>
      <c r="S30" s="686"/>
      <c r="T30" s="686"/>
      <c r="U30" s="686"/>
      <c r="V30" s="686"/>
      <c r="W30" s="686"/>
      <c r="X30" s="686"/>
    </row>
    <row r="31" spans="1:24" x14ac:dyDescent="0.2">
      <c r="A31" s="686"/>
      <c r="B31" s="686"/>
      <c r="C31" s="686"/>
      <c r="D31" s="686"/>
      <c r="E31" s="686"/>
      <c r="F31" s="686"/>
      <c r="G31" s="686"/>
      <c r="H31" s="686"/>
      <c r="I31" s="686"/>
      <c r="J31" s="686"/>
      <c r="K31" s="686"/>
      <c r="L31" s="686"/>
      <c r="M31" s="686"/>
      <c r="N31" s="686"/>
      <c r="O31" s="686"/>
      <c r="P31" s="686"/>
      <c r="Q31" s="686"/>
      <c r="R31" s="686"/>
      <c r="S31" s="686"/>
      <c r="T31" s="686"/>
      <c r="U31" s="686"/>
      <c r="V31" s="686"/>
      <c r="W31" s="686"/>
      <c r="X31" s="686"/>
    </row>
    <row r="32" spans="1:24" x14ac:dyDescent="0.2">
      <c r="A32" s="686"/>
      <c r="B32" s="686"/>
      <c r="C32" s="686"/>
      <c r="D32" s="686"/>
      <c r="E32" s="686"/>
      <c r="F32" s="686"/>
      <c r="G32" s="686"/>
      <c r="H32" s="686"/>
      <c r="I32" s="686"/>
      <c r="J32" s="686"/>
      <c r="K32" s="686"/>
      <c r="L32" s="686"/>
      <c r="M32" s="686"/>
      <c r="N32" s="686"/>
      <c r="O32" s="686"/>
      <c r="P32" s="686"/>
      <c r="Q32" s="686"/>
      <c r="R32" s="686"/>
      <c r="S32" s="686"/>
      <c r="T32" s="686"/>
      <c r="U32" s="686"/>
      <c r="V32" s="686"/>
      <c r="W32" s="686"/>
      <c r="X32" s="686"/>
    </row>
    <row r="33" spans="1:24" x14ac:dyDescent="0.2">
      <c r="A33" s="686"/>
      <c r="B33" s="686"/>
      <c r="C33" s="686"/>
      <c r="D33" s="686"/>
      <c r="E33" s="686"/>
      <c r="F33" s="686"/>
      <c r="G33" s="686"/>
      <c r="H33" s="686"/>
      <c r="I33" s="686"/>
      <c r="J33" s="686"/>
      <c r="K33" s="686"/>
      <c r="L33" s="686"/>
      <c r="M33" s="686"/>
      <c r="N33" s="686"/>
      <c r="O33" s="686"/>
      <c r="P33" s="686"/>
      <c r="Q33" s="686"/>
      <c r="R33" s="686"/>
      <c r="S33" s="686"/>
      <c r="T33" s="686"/>
      <c r="U33" s="686"/>
      <c r="V33" s="686"/>
      <c r="W33" s="686"/>
      <c r="X33" s="686"/>
    </row>
    <row r="34" spans="1:24" x14ac:dyDescent="0.2">
      <c r="A34" s="686"/>
      <c r="B34" s="686"/>
      <c r="C34" s="686"/>
      <c r="D34" s="686"/>
      <c r="E34" s="686"/>
      <c r="F34" s="686"/>
      <c r="G34" s="686"/>
      <c r="H34" s="686"/>
      <c r="I34" s="686"/>
      <c r="J34" s="686"/>
      <c r="K34" s="686"/>
      <c r="L34" s="686"/>
      <c r="M34" s="686"/>
      <c r="N34" s="686"/>
      <c r="O34" s="686"/>
      <c r="P34" s="686"/>
      <c r="Q34" s="686"/>
      <c r="R34" s="686"/>
      <c r="S34" s="686"/>
      <c r="T34" s="686"/>
      <c r="U34" s="686"/>
      <c r="V34" s="686"/>
      <c r="W34" s="686"/>
      <c r="X34" s="686"/>
    </row>
    <row r="35" spans="1:24" x14ac:dyDescent="0.2">
      <c r="A35" s="686"/>
      <c r="B35" s="686"/>
      <c r="C35" s="686"/>
      <c r="D35" s="686"/>
      <c r="E35" s="686"/>
      <c r="F35" s="686"/>
      <c r="G35" s="686"/>
      <c r="H35" s="686"/>
      <c r="I35" s="686"/>
      <c r="J35" s="686"/>
      <c r="K35" s="686"/>
      <c r="L35" s="686"/>
      <c r="M35" s="686"/>
      <c r="N35" s="686"/>
      <c r="O35" s="686"/>
      <c r="P35" s="686"/>
      <c r="Q35" s="686"/>
      <c r="R35" s="686"/>
      <c r="S35" s="686"/>
      <c r="T35" s="686"/>
      <c r="U35" s="686"/>
      <c r="V35" s="686"/>
      <c r="W35" s="686"/>
      <c r="X35" s="686"/>
    </row>
    <row r="36" spans="1:24" x14ac:dyDescent="0.2">
      <c r="A36" s="686"/>
      <c r="B36" s="686"/>
      <c r="C36" s="686"/>
      <c r="D36" s="686"/>
      <c r="E36" s="686"/>
      <c r="F36" s="686"/>
      <c r="G36" s="686"/>
      <c r="H36" s="686"/>
      <c r="I36" s="686"/>
      <c r="J36" s="686"/>
      <c r="K36" s="686"/>
      <c r="L36" s="686"/>
      <c r="M36" s="686"/>
      <c r="N36" s="686"/>
      <c r="O36" s="686"/>
      <c r="P36" s="686"/>
      <c r="Q36" s="686"/>
      <c r="R36" s="686"/>
      <c r="S36" s="686"/>
      <c r="T36" s="686"/>
      <c r="U36" s="686"/>
      <c r="V36" s="686"/>
      <c r="W36" s="686"/>
      <c r="X36" s="686"/>
    </row>
    <row r="37" spans="1:24" x14ac:dyDescent="0.2">
      <c r="A37" s="686"/>
      <c r="B37" s="686"/>
      <c r="C37" s="686"/>
      <c r="D37" s="686"/>
      <c r="E37" s="686"/>
      <c r="F37" s="686"/>
      <c r="G37" s="686"/>
      <c r="H37" s="686"/>
      <c r="I37" s="686"/>
      <c r="J37" s="686"/>
      <c r="K37" s="686"/>
      <c r="L37" s="686"/>
      <c r="M37" s="686"/>
      <c r="N37" s="686"/>
      <c r="O37" s="686"/>
      <c r="P37" s="686"/>
      <c r="Q37" s="686"/>
      <c r="R37" s="686"/>
      <c r="S37" s="686"/>
      <c r="T37" s="686"/>
      <c r="U37" s="686"/>
      <c r="V37" s="686"/>
      <c r="W37" s="686"/>
      <c r="X37" s="686"/>
    </row>
    <row r="38" spans="1:24" x14ac:dyDescent="0.2">
      <c r="A38" s="686"/>
      <c r="B38" s="686"/>
      <c r="C38" s="686"/>
      <c r="D38" s="686"/>
      <c r="E38" s="686"/>
      <c r="F38" s="686"/>
      <c r="G38" s="686"/>
      <c r="H38" s="686"/>
      <c r="I38" s="686"/>
      <c r="J38" s="686"/>
      <c r="K38" s="686"/>
      <c r="L38" s="686"/>
      <c r="M38" s="686"/>
      <c r="N38" s="686"/>
      <c r="O38" s="686"/>
      <c r="P38" s="686"/>
      <c r="Q38" s="686"/>
      <c r="R38" s="686"/>
      <c r="S38" s="686"/>
      <c r="T38" s="686"/>
      <c r="U38" s="686"/>
      <c r="V38" s="686"/>
      <c r="W38" s="686"/>
      <c r="X38" s="686"/>
    </row>
    <row r="39" spans="1:24" x14ac:dyDescent="0.2">
      <c r="A39" s="686"/>
      <c r="B39" s="686"/>
      <c r="C39" s="686"/>
      <c r="D39" s="686"/>
      <c r="E39" s="686"/>
      <c r="F39" s="686"/>
      <c r="G39" s="686"/>
      <c r="H39" s="686"/>
      <c r="I39" s="686"/>
      <c r="J39" s="686"/>
      <c r="K39" s="686"/>
      <c r="L39" s="686"/>
      <c r="M39" s="686"/>
      <c r="N39" s="686"/>
      <c r="O39" s="686"/>
      <c r="P39" s="686"/>
      <c r="Q39" s="686"/>
      <c r="R39" s="686"/>
      <c r="S39" s="686"/>
      <c r="T39" s="686"/>
      <c r="U39" s="686"/>
      <c r="V39" s="686"/>
      <c r="W39" s="686"/>
      <c r="X39" s="686"/>
    </row>
    <row r="40" spans="1:24" x14ac:dyDescent="0.2">
      <c r="A40" s="686"/>
      <c r="B40" s="686"/>
      <c r="C40" s="686"/>
      <c r="D40" s="686"/>
      <c r="E40" s="686"/>
      <c r="F40" s="686"/>
      <c r="G40" s="686"/>
      <c r="H40" s="686"/>
      <c r="I40" s="686"/>
      <c r="J40" s="686"/>
      <c r="K40" s="686"/>
      <c r="L40" s="686"/>
      <c r="M40" s="686"/>
      <c r="N40" s="686"/>
      <c r="O40" s="686"/>
      <c r="P40" s="686"/>
      <c r="Q40" s="686"/>
      <c r="R40" s="686"/>
      <c r="S40" s="686"/>
      <c r="T40" s="686"/>
      <c r="U40" s="686"/>
      <c r="V40" s="686"/>
      <c r="W40" s="686"/>
      <c r="X40" s="686"/>
    </row>
    <row r="41" spans="1:24" x14ac:dyDescent="0.2">
      <c r="A41" s="686"/>
      <c r="B41" s="686"/>
      <c r="C41" s="686"/>
      <c r="D41" s="686"/>
      <c r="E41" s="686"/>
      <c r="F41" s="686"/>
      <c r="G41" s="686"/>
      <c r="H41" s="686"/>
      <c r="I41" s="686"/>
      <c r="J41" s="686"/>
      <c r="K41" s="686"/>
      <c r="L41" s="686"/>
      <c r="M41" s="686"/>
      <c r="N41" s="686"/>
      <c r="O41" s="686"/>
      <c r="P41" s="686"/>
      <c r="Q41" s="686"/>
      <c r="R41" s="686"/>
      <c r="S41" s="686"/>
      <c r="T41" s="686"/>
      <c r="U41" s="686"/>
      <c r="V41" s="686"/>
      <c r="W41" s="686"/>
      <c r="X41" s="686"/>
    </row>
    <row r="42" spans="1:24" x14ac:dyDescent="0.2">
      <c r="A42" s="686"/>
      <c r="B42" s="686"/>
      <c r="C42" s="686"/>
      <c r="D42" s="686"/>
      <c r="E42" s="686"/>
      <c r="F42" s="686"/>
      <c r="G42" s="686"/>
      <c r="H42" s="686"/>
      <c r="I42" s="686"/>
      <c r="J42" s="686"/>
      <c r="K42" s="686"/>
      <c r="L42" s="686"/>
      <c r="M42" s="686"/>
      <c r="N42" s="686"/>
      <c r="O42" s="686"/>
      <c r="P42" s="686"/>
      <c r="Q42" s="686"/>
      <c r="R42" s="686"/>
      <c r="S42" s="686"/>
      <c r="T42" s="686"/>
      <c r="U42" s="686"/>
      <c r="V42" s="686"/>
      <c r="W42" s="686"/>
      <c r="X42" s="686"/>
    </row>
    <row r="43" spans="1:24" x14ac:dyDescent="0.2">
      <c r="A43" s="686"/>
      <c r="B43" s="686"/>
      <c r="C43" s="686"/>
      <c r="D43" s="686"/>
      <c r="E43" s="686"/>
      <c r="F43" s="686"/>
      <c r="G43" s="686"/>
      <c r="H43" s="686"/>
      <c r="I43" s="686"/>
      <c r="J43" s="686"/>
      <c r="K43" s="686"/>
      <c r="L43" s="686"/>
      <c r="M43" s="686"/>
      <c r="N43" s="686"/>
      <c r="O43" s="686"/>
      <c r="P43" s="686"/>
      <c r="Q43" s="686"/>
      <c r="R43" s="686"/>
      <c r="S43" s="686"/>
      <c r="T43" s="686"/>
      <c r="U43" s="686"/>
      <c r="V43" s="686"/>
      <c r="W43" s="686"/>
      <c r="X43" s="686"/>
    </row>
    <row r="44" spans="1:24" x14ac:dyDescent="0.2">
      <c r="A44" s="686"/>
      <c r="B44" s="686"/>
      <c r="C44" s="686"/>
      <c r="D44" s="686"/>
      <c r="E44" s="686"/>
      <c r="F44" s="686"/>
      <c r="G44" s="686"/>
      <c r="H44" s="686"/>
      <c r="I44" s="686"/>
      <c r="J44" s="686"/>
      <c r="K44" s="686"/>
      <c r="L44" s="686"/>
      <c r="M44" s="686"/>
      <c r="N44" s="686"/>
      <c r="O44" s="686"/>
      <c r="P44" s="686"/>
      <c r="Q44" s="686"/>
      <c r="R44" s="686"/>
      <c r="S44" s="686"/>
      <c r="T44" s="686"/>
      <c r="U44" s="686"/>
      <c r="V44" s="686"/>
      <c r="W44" s="686"/>
      <c r="X44" s="686"/>
    </row>
    <row r="45" spans="1:24" x14ac:dyDescent="0.2">
      <c r="A45" s="686"/>
      <c r="B45" s="686"/>
      <c r="C45" s="686"/>
      <c r="D45" s="686"/>
      <c r="E45" s="686"/>
      <c r="F45" s="686"/>
      <c r="G45" s="686"/>
      <c r="H45" s="686"/>
      <c r="I45" s="686"/>
      <c r="J45" s="686"/>
      <c r="K45" s="686"/>
      <c r="L45" s="686"/>
      <c r="M45" s="686"/>
      <c r="N45" s="686"/>
      <c r="O45" s="686"/>
      <c r="P45" s="686"/>
      <c r="Q45" s="686"/>
      <c r="R45" s="686"/>
      <c r="S45" s="686"/>
      <c r="T45" s="686"/>
      <c r="U45" s="686"/>
      <c r="V45" s="686"/>
      <c r="W45" s="686"/>
      <c r="X45" s="686"/>
    </row>
    <row r="46" spans="1:24" x14ac:dyDescent="0.2">
      <c r="A46" s="686"/>
      <c r="B46" s="686"/>
      <c r="C46" s="686"/>
      <c r="D46" s="686"/>
      <c r="E46" s="686"/>
      <c r="F46" s="686"/>
      <c r="G46" s="686"/>
      <c r="H46" s="686"/>
      <c r="I46" s="686"/>
      <c r="J46" s="686"/>
      <c r="K46" s="686"/>
      <c r="L46" s="686"/>
      <c r="M46" s="686"/>
      <c r="N46" s="686"/>
      <c r="O46" s="686"/>
      <c r="P46" s="686"/>
      <c r="Q46" s="686"/>
      <c r="R46" s="686"/>
      <c r="S46" s="686"/>
      <c r="T46" s="686"/>
      <c r="U46" s="686"/>
      <c r="V46" s="686"/>
      <c r="W46" s="686"/>
      <c r="X46" s="686"/>
    </row>
    <row r="47" spans="1:24" x14ac:dyDescent="0.2">
      <c r="A47" s="686"/>
      <c r="B47" s="686"/>
      <c r="C47" s="686"/>
      <c r="D47" s="686"/>
      <c r="E47" s="686"/>
      <c r="F47" s="686"/>
      <c r="G47" s="686"/>
      <c r="H47" s="686"/>
      <c r="I47" s="686"/>
      <c r="J47" s="686"/>
      <c r="K47" s="686"/>
      <c r="L47" s="686"/>
      <c r="M47" s="686"/>
      <c r="N47" s="686"/>
      <c r="O47" s="686"/>
      <c r="P47" s="686"/>
      <c r="Q47" s="686"/>
      <c r="R47" s="686"/>
      <c r="S47" s="686"/>
      <c r="T47" s="686"/>
      <c r="U47" s="686"/>
      <c r="V47" s="686"/>
      <c r="W47" s="686"/>
      <c r="X47" s="686"/>
    </row>
    <row r="48" spans="1:24" x14ac:dyDescent="0.2">
      <c r="A48" s="686"/>
      <c r="B48" s="686"/>
      <c r="C48" s="686"/>
      <c r="D48" s="686"/>
      <c r="E48" s="686"/>
      <c r="F48" s="686"/>
      <c r="G48" s="686"/>
      <c r="H48" s="686"/>
      <c r="I48" s="686"/>
      <c r="J48" s="686"/>
      <c r="K48" s="686"/>
      <c r="L48" s="686"/>
      <c r="M48" s="686"/>
      <c r="N48" s="686"/>
      <c r="O48" s="686"/>
      <c r="P48" s="686"/>
      <c r="Q48" s="686"/>
      <c r="R48" s="686"/>
      <c r="S48" s="686"/>
      <c r="T48" s="686"/>
      <c r="U48" s="686"/>
      <c r="V48" s="686"/>
      <c r="W48" s="686"/>
      <c r="X48" s="686"/>
    </row>
    <row r="49" spans="1:24" x14ac:dyDescent="0.2">
      <c r="A49" s="686"/>
      <c r="B49" s="686"/>
      <c r="C49" s="686"/>
      <c r="D49" s="686"/>
      <c r="E49" s="686"/>
      <c r="F49" s="686"/>
      <c r="G49" s="686"/>
      <c r="H49" s="686"/>
      <c r="I49" s="686"/>
      <c r="J49" s="686"/>
      <c r="K49" s="686"/>
      <c r="L49" s="686"/>
      <c r="M49" s="686"/>
      <c r="N49" s="686"/>
      <c r="O49" s="686"/>
      <c r="P49" s="686"/>
      <c r="Q49" s="686"/>
      <c r="R49" s="686"/>
      <c r="S49" s="686"/>
      <c r="T49" s="686"/>
      <c r="U49" s="686"/>
      <c r="V49" s="686"/>
      <c r="W49" s="686"/>
      <c r="X49" s="686"/>
    </row>
    <row r="50" spans="1:24" x14ac:dyDescent="0.2">
      <c r="A50" s="686"/>
      <c r="B50" s="686"/>
      <c r="C50" s="686"/>
      <c r="D50" s="686"/>
      <c r="E50" s="686"/>
      <c r="F50" s="686"/>
      <c r="G50" s="686"/>
      <c r="H50" s="686"/>
      <c r="I50" s="686"/>
      <c r="J50" s="686"/>
      <c r="K50" s="686"/>
      <c r="L50" s="686"/>
      <c r="M50" s="686"/>
      <c r="N50" s="686"/>
      <c r="O50" s="686"/>
      <c r="P50" s="686"/>
      <c r="Q50" s="686"/>
      <c r="R50" s="686"/>
      <c r="S50" s="686"/>
      <c r="T50" s="686"/>
      <c r="U50" s="686"/>
      <c r="V50" s="686"/>
      <c r="W50" s="686"/>
      <c r="X50" s="686"/>
    </row>
    <row r="51" spans="1:24" x14ac:dyDescent="0.2">
      <c r="A51" s="686"/>
      <c r="B51" s="686"/>
      <c r="C51" s="686"/>
      <c r="D51" s="686"/>
      <c r="E51" s="686"/>
      <c r="F51" s="686"/>
      <c r="G51" s="686"/>
      <c r="H51" s="686"/>
      <c r="I51" s="686"/>
      <c r="J51" s="686"/>
      <c r="K51" s="686"/>
      <c r="L51" s="686"/>
      <c r="M51" s="686"/>
      <c r="N51" s="686"/>
      <c r="O51" s="686"/>
      <c r="P51" s="686"/>
      <c r="Q51" s="686"/>
      <c r="R51" s="686"/>
      <c r="S51" s="686"/>
      <c r="T51" s="686"/>
      <c r="U51" s="686"/>
      <c r="V51" s="686"/>
      <c r="W51" s="686"/>
      <c r="X51" s="686"/>
    </row>
    <row r="52" spans="1:24" x14ac:dyDescent="0.2">
      <c r="A52" s="686"/>
      <c r="B52" s="686"/>
      <c r="C52" s="686"/>
      <c r="D52" s="686"/>
      <c r="E52" s="686"/>
      <c r="F52" s="686"/>
      <c r="G52" s="686"/>
      <c r="H52" s="686"/>
      <c r="I52" s="686"/>
      <c r="J52" s="686"/>
      <c r="K52" s="686"/>
      <c r="L52" s="686"/>
      <c r="M52" s="686"/>
      <c r="N52" s="686"/>
      <c r="O52" s="686"/>
      <c r="P52" s="686"/>
      <c r="Q52" s="686"/>
      <c r="R52" s="686"/>
      <c r="S52" s="686"/>
      <c r="T52" s="686"/>
      <c r="U52" s="686"/>
      <c r="V52" s="686"/>
      <c r="W52" s="686"/>
      <c r="X52" s="686"/>
    </row>
    <row r="53" spans="1:24" x14ac:dyDescent="0.2">
      <c r="A53" s="686"/>
      <c r="B53" s="686"/>
      <c r="C53" s="686"/>
      <c r="D53" s="686"/>
      <c r="E53" s="686"/>
      <c r="F53" s="686"/>
      <c r="G53" s="686"/>
      <c r="H53" s="686"/>
      <c r="I53" s="686"/>
      <c r="J53" s="686"/>
      <c r="K53" s="686"/>
      <c r="L53" s="686"/>
      <c r="M53" s="686"/>
      <c r="N53" s="686"/>
      <c r="O53" s="686"/>
      <c r="P53" s="686"/>
      <c r="Q53" s="686"/>
      <c r="R53" s="686"/>
      <c r="S53" s="686"/>
      <c r="T53" s="686"/>
      <c r="U53" s="686"/>
      <c r="V53" s="686"/>
      <c r="W53" s="686"/>
      <c r="X53" s="686"/>
    </row>
    <row r="54" spans="1:24" x14ac:dyDescent="0.2">
      <c r="A54" s="686"/>
      <c r="B54" s="686"/>
      <c r="C54" s="686"/>
      <c r="D54" s="686"/>
      <c r="E54" s="686"/>
      <c r="F54" s="686"/>
      <c r="G54" s="686"/>
      <c r="H54" s="686"/>
      <c r="I54" s="686"/>
      <c r="J54" s="686"/>
      <c r="K54" s="686"/>
      <c r="L54" s="686"/>
      <c r="M54" s="686"/>
      <c r="N54" s="686"/>
      <c r="O54" s="686"/>
      <c r="P54" s="686"/>
      <c r="Q54" s="686"/>
      <c r="R54" s="686"/>
      <c r="S54" s="686"/>
      <c r="T54" s="686"/>
      <c r="U54" s="686"/>
      <c r="V54" s="686"/>
      <c r="W54" s="686"/>
      <c r="X54" s="686"/>
    </row>
    <row r="55" spans="1:24" x14ac:dyDescent="0.2">
      <c r="A55" s="686"/>
      <c r="B55" s="686"/>
      <c r="C55" s="686"/>
      <c r="D55" s="686"/>
      <c r="E55" s="686"/>
      <c r="F55" s="686"/>
      <c r="G55" s="686"/>
      <c r="H55" s="686"/>
      <c r="I55" s="686"/>
      <c r="J55" s="686"/>
      <c r="K55" s="686"/>
      <c r="L55" s="686"/>
      <c r="M55" s="686"/>
      <c r="N55" s="686"/>
      <c r="O55" s="686"/>
      <c r="P55" s="686"/>
      <c r="Q55" s="686"/>
      <c r="R55" s="686"/>
      <c r="S55" s="686"/>
      <c r="T55" s="686"/>
      <c r="U55" s="686"/>
      <c r="V55" s="686"/>
      <c r="W55" s="686"/>
      <c r="X55" s="686"/>
    </row>
    <row r="56" spans="1:24" x14ac:dyDescent="0.2">
      <c r="A56" s="686"/>
      <c r="B56" s="686"/>
      <c r="C56" s="686"/>
      <c r="D56" s="686"/>
      <c r="E56" s="686"/>
      <c r="F56" s="686"/>
      <c r="G56" s="686"/>
      <c r="H56" s="686"/>
      <c r="I56" s="686"/>
      <c r="J56" s="686"/>
      <c r="K56" s="686"/>
      <c r="L56" s="686"/>
      <c r="M56" s="686"/>
      <c r="N56" s="686"/>
      <c r="O56" s="686"/>
      <c r="P56" s="686"/>
      <c r="Q56" s="686"/>
      <c r="R56" s="686"/>
      <c r="S56" s="686"/>
      <c r="T56" s="686"/>
      <c r="U56" s="686"/>
      <c r="V56" s="686"/>
      <c r="W56" s="686"/>
      <c r="X56" s="686"/>
    </row>
    <row r="57" spans="1:24" x14ac:dyDescent="0.2">
      <c r="A57" s="686"/>
      <c r="B57" s="686"/>
      <c r="C57" s="686"/>
      <c r="D57" s="686"/>
      <c r="E57" s="686"/>
      <c r="F57" s="686"/>
      <c r="G57" s="686"/>
      <c r="H57" s="686"/>
      <c r="I57" s="686"/>
      <c r="J57" s="686"/>
      <c r="K57" s="686"/>
      <c r="L57" s="686"/>
      <c r="M57" s="686"/>
      <c r="N57" s="686"/>
      <c r="O57" s="686"/>
      <c r="P57" s="686"/>
      <c r="Q57" s="686"/>
      <c r="R57" s="686"/>
      <c r="S57" s="686"/>
      <c r="T57" s="686"/>
      <c r="U57" s="686"/>
      <c r="V57" s="686"/>
      <c r="W57" s="686"/>
      <c r="X57" s="686"/>
    </row>
    <row r="58" spans="1:24" x14ac:dyDescent="0.2">
      <c r="A58" s="686"/>
      <c r="B58" s="686"/>
      <c r="C58" s="686"/>
      <c r="D58" s="686"/>
      <c r="E58" s="686"/>
      <c r="F58" s="686"/>
      <c r="G58" s="686"/>
      <c r="H58" s="686"/>
      <c r="I58" s="686"/>
      <c r="J58" s="686"/>
      <c r="K58" s="686"/>
      <c r="L58" s="686"/>
      <c r="M58" s="686"/>
      <c r="N58" s="686"/>
      <c r="O58" s="686"/>
      <c r="P58" s="686"/>
      <c r="Q58" s="686"/>
      <c r="R58" s="686"/>
      <c r="S58" s="686"/>
      <c r="T58" s="686"/>
      <c r="U58" s="686"/>
      <c r="V58" s="686"/>
      <c r="W58" s="686"/>
      <c r="X58" s="686"/>
    </row>
    <row r="59" spans="1:24" x14ac:dyDescent="0.2">
      <c r="A59" s="686"/>
      <c r="B59" s="686"/>
      <c r="C59" s="686"/>
      <c r="D59" s="686"/>
      <c r="E59" s="686"/>
      <c r="F59" s="686"/>
      <c r="G59" s="686"/>
      <c r="H59" s="686"/>
      <c r="I59" s="686"/>
      <c r="J59" s="686"/>
      <c r="K59" s="686"/>
      <c r="L59" s="686"/>
      <c r="M59" s="686"/>
      <c r="N59" s="686"/>
      <c r="O59" s="686"/>
      <c r="P59" s="686"/>
      <c r="Q59" s="686"/>
      <c r="R59" s="686"/>
      <c r="S59" s="686"/>
      <c r="T59" s="686"/>
      <c r="U59" s="686"/>
      <c r="V59" s="686"/>
      <c r="W59" s="686"/>
      <c r="X59" s="686"/>
    </row>
    <row r="60" spans="1:24" x14ac:dyDescent="0.2">
      <c r="A60" s="686"/>
      <c r="B60" s="686"/>
      <c r="C60" s="686"/>
      <c r="D60" s="686"/>
      <c r="E60" s="686"/>
      <c r="F60" s="686"/>
      <c r="G60" s="686"/>
      <c r="H60" s="686"/>
      <c r="I60" s="686"/>
      <c r="J60" s="686"/>
      <c r="K60" s="686"/>
      <c r="L60" s="686"/>
      <c r="M60" s="686"/>
      <c r="N60" s="686"/>
      <c r="O60" s="686"/>
      <c r="P60" s="686"/>
      <c r="Q60" s="686"/>
      <c r="R60" s="686"/>
      <c r="S60" s="686"/>
      <c r="T60" s="686"/>
      <c r="U60" s="686"/>
      <c r="V60" s="686"/>
      <c r="W60" s="686"/>
      <c r="X60" s="686"/>
    </row>
    <row r="61" spans="1:24" x14ac:dyDescent="0.2">
      <c r="A61" s="686"/>
      <c r="B61" s="686"/>
      <c r="C61" s="686"/>
      <c r="D61" s="686"/>
      <c r="E61" s="686"/>
      <c r="F61" s="686"/>
      <c r="G61" s="686"/>
      <c r="H61" s="686"/>
      <c r="I61" s="686"/>
      <c r="J61" s="686"/>
      <c r="K61" s="686"/>
      <c r="L61" s="686"/>
      <c r="M61" s="686"/>
      <c r="N61" s="686"/>
      <c r="O61" s="686"/>
      <c r="P61" s="686"/>
      <c r="Q61" s="686"/>
      <c r="R61" s="686"/>
      <c r="S61" s="686"/>
      <c r="T61" s="686"/>
      <c r="U61" s="686"/>
      <c r="V61" s="686"/>
      <c r="W61" s="686"/>
      <c r="X61" s="686"/>
    </row>
    <row r="62" spans="1:24" x14ac:dyDescent="0.2">
      <c r="A62" s="686"/>
      <c r="B62" s="686"/>
      <c r="C62" s="686"/>
      <c r="D62" s="686"/>
      <c r="E62" s="686"/>
      <c r="F62" s="686"/>
      <c r="G62" s="686"/>
      <c r="H62" s="686"/>
      <c r="I62" s="686"/>
      <c r="J62" s="686"/>
      <c r="K62" s="686"/>
      <c r="L62" s="686"/>
      <c r="M62" s="686"/>
      <c r="N62" s="686"/>
      <c r="O62" s="686"/>
      <c r="P62" s="686"/>
      <c r="Q62" s="686"/>
      <c r="R62" s="686"/>
      <c r="S62" s="686"/>
      <c r="T62" s="686"/>
      <c r="U62" s="686"/>
      <c r="V62" s="686"/>
      <c r="W62" s="686"/>
      <c r="X62" s="686"/>
    </row>
    <row r="63" spans="1:24" x14ac:dyDescent="0.2">
      <c r="A63" s="686"/>
      <c r="B63" s="686"/>
      <c r="C63" s="686"/>
      <c r="D63" s="686"/>
      <c r="E63" s="686"/>
      <c r="F63" s="686"/>
      <c r="G63" s="686"/>
      <c r="H63" s="686"/>
      <c r="I63" s="686"/>
      <c r="J63" s="686"/>
      <c r="K63" s="686"/>
      <c r="L63" s="686"/>
      <c r="M63" s="686"/>
      <c r="N63" s="686"/>
      <c r="O63" s="686"/>
      <c r="P63" s="686"/>
      <c r="Q63" s="686"/>
      <c r="R63" s="686"/>
      <c r="S63" s="686"/>
      <c r="T63" s="686"/>
      <c r="U63" s="686"/>
      <c r="V63" s="686"/>
      <c r="W63" s="686"/>
      <c r="X63" s="686"/>
    </row>
    <row r="64" spans="1:24" x14ac:dyDescent="0.2">
      <c r="A64" s="686"/>
      <c r="B64" s="686"/>
      <c r="C64" s="686"/>
      <c r="D64" s="686"/>
      <c r="E64" s="686"/>
      <c r="F64" s="686"/>
      <c r="G64" s="686"/>
      <c r="H64" s="686"/>
      <c r="I64" s="686"/>
      <c r="J64" s="686"/>
      <c r="K64" s="686"/>
      <c r="L64" s="686"/>
      <c r="M64" s="686"/>
      <c r="N64" s="686"/>
      <c r="O64" s="686"/>
      <c r="P64" s="686"/>
      <c r="Q64" s="686"/>
      <c r="R64" s="686"/>
      <c r="S64" s="686"/>
      <c r="T64" s="686"/>
      <c r="U64" s="686"/>
      <c r="V64" s="686"/>
      <c r="W64" s="686"/>
      <c r="X64" s="686"/>
    </row>
    <row r="65" spans="1:24" x14ac:dyDescent="0.2">
      <c r="A65" s="686"/>
      <c r="B65" s="686"/>
      <c r="C65" s="686"/>
      <c r="D65" s="686"/>
      <c r="E65" s="686"/>
      <c r="F65" s="686"/>
      <c r="G65" s="686"/>
      <c r="H65" s="686"/>
      <c r="I65" s="686"/>
      <c r="J65" s="686"/>
      <c r="K65" s="686"/>
      <c r="L65" s="686"/>
      <c r="M65" s="686"/>
      <c r="N65" s="686"/>
      <c r="O65" s="686"/>
      <c r="P65" s="686"/>
      <c r="Q65" s="686"/>
      <c r="R65" s="686"/>
      <c r="S65" s="686"/>
      <c r="T65" s="686"/>
      <c r="U65" s="686"/>
      <c r="V65" s="686"/>
      <c r="W65" s="686"/>
      <c r="X65" s="686"/>
    </row>
    <row r="66" spans="1:24" x14ac:dyDescent="0.2">
      <c r="A66" s="686"/>
      <c r="B66" s="686"/>
      <c r="C66" s="686"/>
      <c r="D66" s="686"/>
      <c r="E66" s="686"/>
      <c r="F66" s="686"/>
      <c r="G66" s="686"/>
      <c r="H66" s="686"/>
      <c r="I66" s="686"/>
      <c r="J66" s="686"/>
      <c r="K66" s="686"/>
      <c r="L66" s="686"/>
      <c r="M66" s="686"/>
      <c r="N66" s="686"/>
      <c r="O66" s="686"/>
      <c r="P66" s="686"/>
      <c r="Q66" s="686"/>
      <c r="R66" s="686"/>
      <c r="S66" s="686"/>
      <c r="T66" s="686"/>
      <c r="U66" s="686"/>
      <c r="V66" s="686"/>
      <c r="W66" s="686"/>
      <c r="X66" s="686"/>
    </row>
    <row r="67" spans="1:24" x14ac:dyDescent="0.2">
      <c r="A67" s="686"/>
      <c r="B67" s="686"/>
      <c r="C67" s="686"/>
      <c r="D67" s="686"/>
      <c r="E67" s="686"/>
      <c r="F67" s="686"/>
      <c r="G67" s="686"/>
      <c r="H67" s="686"/>
      <c r="I67" s="686"/>
      <c r="J67" s="686"/>
      <c r="K67" s="686"/>
      <c r="L67" s="686"/>
      <c r="M67" s="686"/>
      <c r="N67" s="686"/>
      <c r="O67" s="686"/>
      <c r="P67" s="686"/>
      <c r="Q67" s="686"/>
      <c r="R67" s="686"/>
      <c r="S67" s="686"/>
      <c r="T67" s="686"/>
      <c r="U67" s="686"/>
      <c r="V67" s="686"/>
      <c r="W67" s="686"/>
      <c r="X67" s="686"/>
    </row>
    <row r="68" spans="1:24" x14ac:dyDescent="0.2">
      <c r="A68" s="686"/>
      <c r="B68" s="686"/>
      <c r="C68" s="686"/>
      <c r="D68" s="686"/>
      <c r="E68" s="686"/>
      <c r="F68" s="686"/>
      <c r="G68" s="686"/>
      <c r="H68" s="686"/>
      <c r="I68" s="686"/>
      <c r="J68" s="686"/>
      <c r="K68" s="686"/>
      <c r="L68" s="686"/>
      <c r="M68" s="686"/>
      <c r="N68" s="686"/>
      <c r="O68" s="686"/>
      <c r="P68" s="686"/>
      <c r="Q68" s="686"/>
      <c r="R68" s="686"/>
      <c r="S68" s="686"/>
      <c r="T68" s="686"/>
      <c r="U68" s="686"/>
      <c r="V68" s="686"/>
      <c r="W68" s="686"/>
      <c r="X68" s="686"/>
    </row>
    <row r="69" spans="1:24" x14ac:dyDescent="0.2">
      <c r="A69" s="686"/>
      <c r="B69" s="686"/>
      <c r="C69" s="686"/>
      <c r="D69" s="686"/>
      <c r="E69" s="686"/>
      <c r="F69" s="686"/>
      <c r="G69" s="686"/>
      <c r="H69" s="686"/>
      <c r="I69" s="686"/>
      <c r="J69" s="686"/>
      <c r="K69" s="686"/>
      <c r="L69" s="686"/>
      <c r="M69" s="686"/>
      <c r="N69" s="686"/>
      <c r="O69" s="686"/>
      <c r="P69" s="686"/>
      <c r="Q69" s="686"/>
      <c r="R69" s="686"/>
      <c r="S69" s="686"/>
      <c r="T69" s="686"/>
      <c r="U69" s="686"/>
      <c r="V69" s="686"/>
      <c r="W69" s="686"/>
      <c r="X69" s="686"/>
    </row>
    <row r="70" spans="1:24" x14ac:dyDescent="0.2">
      <c r="A70" s="686"/>
      <c r="B70" s="686"/>
      <c r="C70" s="686"/>
      <c r="D70" s="686"/>
      <c r="E70" s="686"/>
      <c r="F70" s="686"/>
      <c r="G70" s="686"/>
      <c r="H70" s="686"/>
      <c r="I70" s="686"/>
      <c r="J70" s="686"/>
      <c r="K70" s="686"/>
      <c r="L70" s="686"/>
      <c r="M70" s="686"/>
      <c r="N70" s="686"/>
      <c r="O70" s="686"/>
      <c r="P70" s="686"/>
      <c r="Q70" s="686"/>
      <c r="R70" s="686"/>
      <c r="S70" s="686"/>
      <c r="T70" s="686"/>
      <c r="U70" s="686"/>
      <c r="V70" s="686"/>
      <c r="W70" s="686"/>
      <c r="X70" s="686"/>
    </row>
    <row r="71" spans="1:24" x14ac:dyDescent="0.2">
      <c r="A71" s="686"/>
      <c r="B71" s="686"/>
      <c r="C71" s="686"/>
      <c r="D71" s="686"/>
      <c r="E71" s="686"/>
      <c r="F71" s="686"/>
      <c r="G71" s="686"/>
      <c r="H71" s="686"/>
      <c r="I71" s="686"/>
      <c r="J71" s="686"/>
      <c r="K71" s="686"/>
      <c r="L71" s="686"/>
      <c r="M71" s="686"/>
      <c r="N71" s="686"/>
      <c r="O71" s="686"/>
      <c r="P71" s="686"/>
      <c r="Q71" s="686"/>
      <c r="R71" s="686"/>
      <c r="S71" s="686"/>
      <c r="T71" s="686"/>
      <c r="U71" s="686"/>
      <c r="V71" s="686"/>
      <c r="W71" s="686"/>
      <c r="X71" s="686"/>
    </row>
    <row r="72" spans="1:24" x14ac:dyDescent="0.2">
      <c r="A72" s="686"/>
      <c r="B72" s="686"/>
      <c r="C72" s="686"/>
      <c r="D72" s="686"/>
      <c r="E72" s="686"/>
      <c r="F72" s="686"/>
      <c r="G72" s="686"/>
      <c r="H72" s="686"/>
      <c r="I72" s="686"/>
      <c r="J72" s="686"/>
      <c r="K72" s="686"/>
      <c r="L72" s="686"/>
      <c r="M72" s="686"/>
      <c r="N72" s="686"/>
      <c r="O72" s="686"/>
      <c r="P72" s="686"/>
      <c r="Q72" s="686"/>
      <c r="R72" s="686"/>
      <c r="S72" s="686"/>
      <c r="T72" s="686"/>
      <c r="U72" s="686"/>
      <c r="V72" s="686"/>
      <c r="W72" s="686"/>
      <c r="X72" s="686"/>
    </row>
    <row r="73" spans="1:24" x14ac:dyDescent="0.2">
      <c r="A73" s="686"/>
      <c r="B73" s="686"/>
      <c r="C73" s="686"/>
      <c r="D73" s="686"/>
      <c r="E73" s="686"/>
      <c r="F73" s="686"/>
      <c r="G73" s="686"/>
      <c r="H73" s="686"/>
      <c r="I73" s="686"/>
      <c r="J73" s="686"/>
      <c r="K73" s="686"/>
      <c r="L73" s="686"/>
      <c r="M73" s="686"/>
      <c r="N73" s="686"/>
      <c r="O73" s="686"/>
      <c r="P73" s="686"/>
      <c r="Q73" s="686"/>
      <c r="R73" s="686"/>
      <c r="S73" s="686"/>
      <c r="T73" s="686"/>
      <c r="U73" s="686"/>
      <c r="V73" s="686"/>
      <c r="W73" s="686"/>
      <c r="X73" s="686"/>
    </row>
    <row r="74" spans="1:24" x14ac:dyDescent="0.2">
      <c r="A74" s="686"/>
      <c r="B74" s="686"/>
      <c r="C74" s="686"/>
      <c r="D74" s="686"/>
      <c r="E74" s="686"/>
      <c r="F74" s="686"/>
      <c r="G74" s="686"/>
      <c r="H74" s="686"/>
      <c r="I74" s="686"/>
      <c r="J74" s="686"/>
      <c r="K74" s="686"/>
      <c r="L74" s="686"/>
      <c r="M74" s="686"/>
      <c r="N74" s="686"/>
      <c r="O74" s="686"/>
      <c r="P74" s="686"/>
      <c r="Q74" s="686"/>
      <c r="R74" s="686"/>
      <c r="S74" s="686"/>
      <c r="T74" s="686"/>
      <c r="U74" s="686"/>
      <c r="V74" s="686"/>
      <c r="W74" s="686"/>
      <c r="X74" s="686"/>
    </row>
    <row r="75" spans="1:24" x14ac:dyDescent="0.2">
      <c r="A75" s="686"/>
      <c r="B75" s="686"/>
      <c r="C75" s="686"/>
      <c r="D75" s="686"/>
      <c r="E75" s="686"/>
      <c r="F75" s="686"/>
      <c r="G75" s="686"/>
      <c r="H75" s="686"/>
      <c r="I75" s="686"/>
      <c r="J75" s="686"/>
      <c r="K75" s="686"/>
      <c r="L75" s="686"/>
      <c r="M75" s="686"/>
      <c r="N75" s="686"/>
      <c r="O75" s="686"/>
      <c r="P75" s="686"/>
      <c r="Q75" s="686"/>
      <c r="R75" s="686"/>
      <c r="S75" s="686"/>
      <c r="T75" s="686"/>
      <c r="U75" s="686"/>
      <c r="V75" s="686"/>
      <c r="W75" s="686"/>
      <c r="X75" s="686"/>
    </row>
    <row r="76" spans="1:24" x14ac:dyDescent="0.2">
      <c r="A76" s="686"/>
      <c r="B76" s="686"/>
      <c r="C76" s="686"/>
      <c r="D76" s="686"/>
      <c r="E76" s="686"/>
      <c r="F76" s="686"/>
      <c r="G76" s="686"/>
      <c r="H76" s="686"/>
      <c r="I76" s="686"/>
      <c r="J76" s="686"/>
      <c r="K76" s="686"/>
      <c r="L76" s="686"/>
      <c r="M76" s="686"/>
      <c r="N76" s="686"/>
      <c r="O76" s="686"/>
      <c r="P76" s="686"/>
      <c r="Q76" s="686"/>
      <c r="R76" s="686"/>
      <c r="S76" s="686"/>
      <c r="T76" s="686"/>
      <c r="U76" s="686"/>
      <c r="V76" s="686"/>
      <c r="W76" s="686"/>
      <c r="X76" s="686"/>
    </row>
  </sheetData>
  <sheetProtection password="C1BB" sheet="1" objects="1" scenarios="1"/>
  <phoneticPr fontId="87"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S38"/>
  <sheetViews>
    <sheetView zoomScale="75" workbookViewId="0">
      <pane xSplit="1" topLeftCell="AQ1" activePane="topRight" state="frozen"/>
      <selection pane="topRight" sqref="A1:A38"/>
    </sheetView>
  </sheetViews>
  <sheetFormatPr defaultRowHeight="12.75" x14ac:dyDescent="0.2"/>
  <cols>
    <col min="1" max="1" width="14.140625" style="49" customWidth="1"/>
    <col min="2" max="2" width="10.42578125" style="49" customWidth="1"/>
    <col min="3" max="3" width="11.28515625" style="49" customWidth="1"/>
    <col min="4" max="4" width="10.85546875" style="49" customWidth="1"/>
    <col min="5" max="6" width="9.140625" style="49"/>
    <col min="7" max="7" width="10.7109375" style="49" customWidth="1"/>
    <col min="8" max="8" width="12.140625" style="49" customWidth="1"/>
    <col min="9" max="10" width="9.140625" style="49"/>
    <col min="11" max="12" width="12.7109375" style="49" customWidth="1"/>
    <col min="13" max="13" width="14.5703125" style="49" customWidth="1"/>
    <col min="14" max="14" width="12" style="49" customWidth="1"/>
    <col min="15" max="15" width="13.85546875" style="49" customWidth="1"/>
    <col min="16" max="16" width="15.85546875" style="49" customWidth="1"/>
    <col min="17" max="17" width="12.42578125" style="49" customWidth="1"/>
    <col min="18" max="20" width="12.5703125" style="49" customWidth="1"/>
    <col min="21" max="23" width="12.7109375" style="49" customWidth="1"/>
    <col min="24" max="24" width="12.42578125" style="49" customWidth="1"/>
    <col min="25" max="25" width="14.140625" style="49" customWidth="1"/>
    <col min="26" max="26" width="14" style="49" customWidth="1"/>
    <col min="27" max="27" width="13.85546875" style="49" customWidth="1"/>
    <col min="28" max="28" width="14" style="49" customWidth="1"/>
    <col min="29" max="29" width="9.140625" style="49"/>
    <col min="30" max="30" width="14.85546875" style="49" customWidth="1"/>
    <col min="31" max="31" width="18.140625" style="49" customWidth="1"/>
    <col min="32" max="32" width="16.42578125" style="49" customWidth="1"/>
    <col min="33" max="33" width="16.5703125" style="49" customWidth="1"/>
    <col min="34" max="34" width="18.140625" style="49" customWidth="1"/>
    <col min="35" max="35" width="11.28515625" style="49" customWidth="1"/>
    <col min="36" max="36" width="12.140625" style="49" customWidth="1"/>
    <col min="37" max="37" width="9.140625" style="49"/>
    <col min="38" max="38" width="12.140625" style="49" customWidth="1"/>
    <col min="39" max="39" width="12.5703125" style="49" customWidth="1"/>
    <col min="40" max="40" width="9.140625" style="49"/>
    <col min="41" max="41" width="12.140625" style="49" customWidth="1"/>
    <col min="42" max="42" width="9.140625" style="49"/>
    <col min="43" max="43" width="13.85546875" style="49" customWidth="1"/>
    <col min="44" max="44" width="13.7109375" style="49" customWidth="1"/>
    <col min="45" max="45" width="9.140625" style="49"/>
    <col min="46" max="46" width="10.7109375" style="49" customWidth="1"/>
    <col min="47" max="56" width="9.140625" style="49"/>
    <col min="57" max="57" width="13.28515625" style="49" customWidth="1"/>
    <col min="58" max="58" width="9.140625" style="49"/>
    <col min="59" max="59" width="16.5703125" style="49" customWidth="1"/>
    <col min="60" max="60" width="12.140625" style="49" customWidth="1"/>
    <col min="61" max="62" width="9.140625" style="49"/>
    <col min="63" max="63" width="12.85546875" style="49" customWidth="1"/>
    <col min="64" max="64" width="12.85546875" style="49" bestFit="1" customWidth="1"/>
    <col min="65" max="65" width="9.28515625" style="49" customWidth="1"/>
    <col min="66" max="66" width="11.5703125" style="49" customWidth="1"/>
    <col min="67" max="16384" width="9.140625" style="49"/>
  </cols>
  <sheetData>
    <row r="1" spans="1:71" ht="15" hidden="1" x14ac:dyDescent="0.25">
      <c r="A1" s="177" t="s">
        <v>264</v>
      </c>
      <c r="B1" s="178" t="str">
        <f>FeedValues!B3</f>
        <v>Wheat</v>
      </c>
      <c r="C1" s="178" t="str">
        <f>FeedValues!C3</f>
        <v>Triticale</v>
      </c>
      <c r="D1" s="178" t="str">
        <f>FeedValues!D3</f>
        <v>Sorghum</v>
      </c>
      <c r="E1" s="178" t="str">
        <f>FeedValues!E3</f>
        <v>Maize</v>
      </c>
      <c r="F1" s="178" t="str">
        <f>FeedValues!F3</f>
        <v>Barley</v>
      </c>
      <c r="G1" s="178" t="str">
        <f>FeedValues!G3</f>
        <v>Oats</v>
      </c>
      <c r="H1" s="178" t="str">
        <f>FeedValues!H3</f>
        <v>Lupins</v>
      </c>
      <c r="I1" s="178" t="str">
        <f>FeedValues!I3</f>
        <v>Peas</v>
      </c>
      <c r="J1" s="178" t="str">
        <f>FeedValues!J3</f>
        <v>Faba Beans</v>
      </c>
      <c r="K1" s="178" t="str">
        <f>FeedValues!K3</f>
        <v>Brewers grains (dry)</v>
      </c>
      <c r="L1" s="178" t="str">
        <f>FeedValues!L3</f>
        <v>Cottonseed(w)</v>
      </c>
      <c r="M1" s="178" t="str">
        <f>FeedValues!B9</f>
        <v>Canola</v>
      </c>
      <c r="N1" s="178" t="str">
        <f>FeedValues!C9</f>
        <v>Copra</v>
      </c>
      <c r="O1" s="178" t="str">
        <f>FeedValues!D9</f>
        <v>Corn Gluten</v>
      </c>
      <c r="P1" s="178" t="str">
        <f>FeedValues!E9</f>
        <v>Cottonseed</v>
      </c>
      <c r="Q1" s="178" t="str">
        <f>FeedValues!F9</f>
        <v>Safflower</v>
      </c>
      <c r="R1" s="178" t="str">
        <f>FeedValues!G9</f>
        <v>Soyabean</v>
      </c>
      <c r="S1" s="178" t="str">
        <f>FeedValues!H9</f>
        <v>Sunflower</v>
      </c>
      <c r="T1" s="178">
        <f>FeedValues!I9</f>
        <v>0</v>
      </c>
      <c r="U1" s="178">
        <f>FeedValues!J9</f>
        <v>0</v>
      </c>
      <c r="V1" s="178">
        <f>FeedValues!K9</f>
        <v>0</v>
      </c>
      <c r="W1" s="178">
        <f>FeedValues!L9</f>
        <v>0</v>
      </c>
      <c r="X1" s="178" t="str">
        <f>FeedValues!B16</f>
        <v>Pasture Hay</v>
      </c>
      <c r="Y1" s="178" t="str">
        <f>FeedValues!C16</f>
        <v>Cereal hay 1</v>
      </c>
      <c r="Z1" s="178" t="str">
        <f>FeedValues!D16</f>
        <v>Cereal hay 2</v>
      </c>
      <c r="AA1" s="178" t="str">
        <f>FeedValues!E16</f>
        <v>Lucerne Hay</v>
      </c>
      <c r="AB1" s="178" t="str">
        <f>FeedValues!F16</f>
        <v>Pasture Hay</v>
      </c>
      <c r="AC1" s="178">
        <f>FeedValues!G16</f>
        <v>0</v>
      </c>
      <c r="AD1" s="178" t="str">
        <f>FeedValues!H16</f>
        <v>Cereal Silage</v>
      </c>
      <c r="AE1" s="178" t="str">
        <f>FeedValues!I16</f>
        <v>Pasture Silage</v>
      </c>
      <c r="AF1" s="178" t="str">
        <f>FeedValues!J16</f>
        <v>Lucerne Silage</v>
      </c>
      <c r="AG1" s="178" t="str">
        <f>FeedValues!K16</f>
        <v>Maize Silage</v>
      </c>
      <c r="AH1" s="178" t="str">
        <f>FeedValues!L16</f>
        <v>Sorghum Silage</v>
      </c>
      <c r="AI1" s="178" t="str">
        <f>FeedValues!B22</f>
        <v>Bentonite</v>
      </c>
      <c r="AJ1" s="178" t="str">
        <f>FeedValues!C22</f>
        <v>Bicarb</v>
      </c>
      <c r="AK1" s="178" t="str">
        <f>FeedValues!D22</f>
        <v>Lime</v>
      </c>
      <c r="AL1" s="178" t="str">
        <f>FeedValues!E22</f>
        <v>Salt</v>
      </c>
      <c r="AM1" s="178" t="str">
        <f>FeedValues!F22</f>
        <v>Urea</v>
      </c>
      <c r="AN1" s="178" t="str">
        <f>FeedValues!G22</f>
        <v>Premix</v>
      </c>
      <c r="AO1" s="178" t="str">
        <f>FeedValues!H22</f>
        <v>Molasses</v>
      </c>
      <c r="AP1" s="178" t="str">
        <f>FeedValues!I22</f>
        <v>Acid Buff</v>
      </c>
      <c r="AQ1" s="178" t="str">
        <f>FeedValues!J22</f>
        <v>Causmag</v>
      </c>
      <c r="AR1" s="178">
        <f>FeedValues!K22</f>
        <v>0</v>
      </c>
      <c r="AS1" s="178">
        <f>FeedValues!L22</f>
        <v>0</v>
      </c>
      <c r="AT1" s="208" t="str">
        <f>FeedValues!B29</f>
        <v>Pellet/Mix</v>
      </c>
      <c r="AU1" s="208" t="str">
        <f>FeedValues!C29</f>
        <v>Carrots</v>
      </c>
      <c r="AV1" s="208" t="str">
        <f>FeedValues!D29</f>
        <v>Pellets</v>
      </c>
      <c r="AW1" s="180">
        <f>FeedValues!E29</f>
        <v>0</v>
      </c>
      <c r="AX1" s="180">
        <f>FeedValues!F29</f>
        <v>0</v>
      </c>
      <c r="AY1" s="180">
        <f>FeedValues!G29</f>
        <v>0</v>
      </c>
      <c r="AZ1" s="180">
        <f>FeedValues!H29</f>
        <v>0</v>
      </c>
      <c r="BA1" s="180">
        <f>FeedValues!I29</f>
        <v>0</v>
      </c>
      <c r="BB1" s="180">
        <f>FeedValues!J29</f>
        <v>0</v>
      </c>
      <c r="BC1" s="195">
        <f>FeedValues!K29</f>
        <v>0</v>
      </c>
      <c r="BD1" s="195">
        <f>FeedValues!L29</f>
        <v>0</v>
      </c>
      <c r="BE1" s="180" t="s">
        <v>92</v>
      </c>
      <c r="BF1" s="207" t="s">
        <v>92</v>
      </c>
    </row>
    <row r="2" spans="1:71" ht="15" hidden="1" x14ac:dyDescent="0.25">
      <c r="A2" s="181" t="s">
        <v>14</v>
      </c>
      <c r="B2" s="179">
        <f>FeedValues!B4</f>
        <v>300</v>
      </c>
      <c r="C2" s="179">
        <f>FeedValues!C4</f>
        <v>420</v>
      </c>
      <c r="D2" s="179">
        <f>FeedValues!D4</f>
        <v>350</v>
      </c>
      <c r="E2" s="179">
        <f>FeedValues!E4</f>
        <v>245</v>
      </c>
      <c r="F2" s="179">
        <f>FeedValues!F4</f>
        <v>130</v>
      </c>
      <c r="G2" s="179">
        <f>FeedValues!G4</f>
        <v>300</v>
      </c>
      <c r="H2" s="179">
        <f>FeedValues!H4</f>
        <v>230</v>
      </c>
      <c r="I2" s="179">
        <f>FeedValues!I4</f>
        <v>230</v>
      </c>
      <c r="J2" s="179">
        <f>FeedValues!J4</f>
        <v>240</v>
      </c>
      <c r="K2" s="179">
        <f>FeedValues!K4</f>
        <v>500</v>
      </c>
      <c r="L2" s="179">
        <f>FeedValues!L4</f>
        <v>300</v>
      </c>
      <c r="M2" s="179">
        <f>FeedValues!B10</f>
        <v>350</v>
      </c>
      <c r="N2" s="179">
        <f>FeedValues!C10</f>
        <v>230</v>
      </c>
      <c r="O2" s="179">
        <f>FeedValues!D10</f>
        <v>230</v>
      </c>
      <c r="P2" s="179">
        <f>FeedValues!E10</f>
        <v>360</v>
      </c>
      <c r="Q2" s="179">
        <f>FeedValues!F10</f>
        <v>230</v>
      </c>
      <c r="R2" s="179">
        <f>FeedValues!G10</f>
        <v>350</v>
      </c>
      <c r="S2" s="179">
        <f>FeedValues!H10</f>
        <v>300</v>
      </c>
      <c r="T2" s="179">
        <f>FeedValues!I10</f>
        <v>0</v>
      </c>
      <c r="U2" s="179">
        <f>FeedValues!J10</f>
        <v>0</v>
      </c>
      <c r="V2" s="179">
        <f>FeedValues!K10</f>
        <v>0</v>
      </c>
      <c r="W2" s="179">
        <f>FeedValues!L10</f>
        <v>0</v>
      </c>
      <c r="X2" s="179">
        <f>FeedValues!B17</f>
        <v>120</v>
      </c>
      <c r="Y2" s="179">
        <f>FeedValues!C17</f>
        <v>300</v>
      </c>
      <c r="Z2" s="179">
        <f>FeedValues!D17</f>
        <v>200</v>
      </c>
      <c r="AA2" s="179">
        <f>FeedValues!E17</f>
        <v>350</v>
      </c>
      <c r="AB2" s="179">
        <f>FeedValues!F17</f>
        <v>120</v>
      </c>
      <c r="AC2" s="179">
        <f>FeedValues!G17</f>
        <v>0</v>
      </c>
      <c r="AD2" s="179">
        <f>FeedValues!H17</f>
        <v>100</v>
      </c>
      <c r="AE2" s="179">
        <f>FeedValues!I17</f>
        <v>50</v>
      </c>
      <c r="AF2" s="179">
        <f>FeedValues!J17</f>
        <v>70</v>
      </c>
      <c r="AG2" s="179">
        <f>FeedValues!K17</f>
        <v>150</v>
      </c>
      <c r="AH2" s="179">
        <f>FeedValues!L17</f>
        <v>150</v>
      </c>
      <c r="AI2" s="179">
        <f>FeedValues!B23</f>
        <v>260</v>
      </c>
      <c r="AJ2" s="179">
        <f>FeedValues!C23</f>
        <v>750</v>
      </c>
      <c r="AK2" s="179">
        <f>FeedValues!D23</f>
        <v>165</v>
      </c>
      <c r="AL2" s="179">
        <f>FeedValues!E23</f>
        <v>300</v>
      </c>
      <c r="AM2" s="179">
        <f>FeedValues!F23</f>
        <v>0</v>
      </c>
      <c r="AN2" s="179">
        <f>FeedValues!G23</f>
        <v>0</v>
      </c>
      <c r="AO2" s="179">
        <f>FeedValues!H23</f>
        <v>0</v>
      </c>
      <c r="AP2" s="179">
        <f>FeedValues!I23</f>
        <v>1000</v>
      </c>
      <c r="AQ2" s="179">
        <f>FeedValues!J23</f>
        <v>0</v>
      </c>
      <c r="AR2" s="179">
        <f>FeedValues!K23</f>
        <v>0</v>
      </c>
      <c r="AS2" s="179">
        <f>FeedValues!L23</f>
        <v>0</v>
      </c>
      <c r="AT2" s="180">
        <f>FeedValues!B30</f>
        <v>280</v>
      </c>
      <c r="AU2" s="180">
        <f>FeedValues!C30</f>
        <v>75</v>
      </c>
      <c r="AV2" s="180">
        <f>FeedValues!D30</f>
        <v>350</v>
      </c>
      <c r="AW2" s="180">
        <f>FeedValues!E30</f>
        <v>0</v>
      </c>
      <c r="AX2" s="180">
        <f>FeedValues!F30</f>
        <v>0</v>
      </c>
      <c r="AY2" s="180">
        <f>FeedValues!G30</f>
        <v>0</v>
      </c>
      <c r="AZ2" s="180">
        <f>FeedValues!H30</f>
        <v>0</v>
      </c>
      <c r="BA2" s="180">
        <f>FeedValues!I30</f>
        <v>0</v>
      </c>
      <c r="BB2" s="180">
        <f>FeedValues!J30</f>
        <v>0</v>
      </c>
      <c r="BC2" s="195">
        <f>FeedValues!K30</f>
        <v>0</v>
      </c>
      <c r="BD2" s="195">
        <f>FeedValues!L30</f>
        <v>0</v>
      </c>
      <c r="BE2" s="120" t="s">
        <v>271</v>
      </c>
      <c r="BF2" s="207" t="s">
        <v>159</v>
      </c>
    </row>
    <row r="3" spans="1:71" ht="15" hidden="1" x14ac:dyDescent="0.25">
      <c r="A3" s="181" t="s">
        <v>18</v>
      </c>
      <c r="B3" s="179">
        <f>FeedValues!B5</f>
        <v>11</v>
      </c>
      <c r="C3" s="179">
        <f>FeedValues!C5</f>
        <v>13</v>
      </c>
      <c r="D3" s="179">
        <f>FeedValues!D5</f>
        <v>10</v>
      </c>
      <c r="E3" s="179">
        <f>FeedValues!E5</f>
        <v>13.5</v>
      </c>
      <c r="F3" s="179">
        <f>FeedValues!F5</f>
        <v>12</v>
      </c>
      <c r="G3" s="179">
        <f>FeedValues!G5</f>
        <v>10</v>
      </c>
      <c r="H3" s="179">
        <f>FeedValues!H5</f>
        <v>13</v>
      </c>
      <c r="I3" s="179">
        <f>FeedValues!I5</f>
        <v>13</v>
      </c>
      <c r="J3" s="179">
        <f>FeedValues!J5</f>
        <v>12.5</v>
      </c>
      <c r="K3" s="179">
        <f>FeedValues!K5</f>
        <v>9.5</v>
      </c>
      <c r="L3" s="179">
        <f>FeedValues!L5</f>
        <v>13</v>
      </c>
      <c r="M3" s="179">
        <f>FeedValues!B11</f>
        <v>13</v>
      </c>
      <c r="N3" s="179">
        <f>FeedValues!C11</f>
        <v>12</v>
      </c>
      <c r="O3" s="179">
        <f>FeedValues!D11</f>
        <v>11</v>
      </c>
      <c r="P3" s="179">
        <f>FeedValues!E11</f>
        <v>11</v>
      </c>
      <c r="Q3" s="179">
        <f>FeedValues!F11</f>
        <v>11</v>
      </c>
      <c r="R3" s="179">
        <f>FeedValues!G11</f>
        <v>12</v>
      </c>
      <c r="S3" s="179">
        <f>FeedValues!H11</f>
        <v>10.8</v>
      </c>
      <c r="T3" s="179">
        <f>FeedValues!I11</f>
        <v>0</v>
      </c>
      <c r="U3" s="179">
        <f>FeedValues!J11</f>
        <v>0</v>
      </c>
      <c r="V3" s="179">
        <f>FeedValues!K11</f>
        <v>0</v>
      </c>
      <c r="W3" s="179">
        <f>FeedValues!L11</f>
        <v>0</v>
      </c>
      <c r="X3" s="179">
        <f>FeedValues!B18</f>
        <v>5</v>
      </c>
      <c r="Y3" s="179">
        <f>FeedValues!C18</f>
        <v>10</v>
      </c>
      <c r="Z3" s="179">
        <f>FeedValues!D18</f>
        <v>8</v>
      </c>
      <c r="AA3" s="179">
        <f>FeedValues!E18</f>
        <v>8.5</v>
      </c>
      <c r="AB3" s="179">
        <f>FeedValues!F18</f>
        <v>10</v>
      </c>
      <c r="AC3" s="179">
        <f>FeedValues!G18</f>
        <v>0</v>
      </c>
      <c r="AD3" s="179">
        <f>FeedValues!H18</f>
        <v>8</v>
      </c>
      <c r="AE3" s="179">
        <f>FeedValues!I18</f>
        <v>10</v>
      </c>
      <c r="AF3" s="179">
        <f>FeedValues!J18</f>
        <v>10</v>
      </c>
      <c r="AG3" s="179">
        <f>FeedValues!K18</f>
        <v>10</v>
      </c>
      <c r="AH3" s="179">
        <f>FeedValues!L18</f>
        <v>10</v>
      </c>
      <c r="AI3" s="179">
        <f>FeedValues!B24</f>
        <v>0</v>
      </c>
      <c r="AJ3" s="179">
        <f>FeedValues!C24</f>
        <v>0</v>
      </c>
      <c r="AK3" s="179">
        <f>FeedValues!D24</f>
        <v>0</v>
      </c>
      <c r="AL3" s="179">
        <f>FeedValues!E24</f>
        <v>0</v>
      </c>
      <c r="AM3" s="179">
        <f>FeedValues!F24</f>
        <v>0</v>
      </c>
      <c r="AN3" s="179">
        <f>FeedValues!G24</f>
        <v>0</v>
      </c>
      <c r="AO3" s="179">
        <f>FeedValues!H24</f>
        <v>0</v>
      </c>
      <c r="AP3" s="179">
        <f>FeedValues!I24</f>
        <v>0</v>
      </c>
      <c r="AQ3" s="179">
        <f>FeedValues!J24</f>
        <v>0</v>
      </c>
      <c r="AR3" s="179">
        <f>FeedValues!K24</f>
        <v>0</v>
      </c>
      <c r="AS3" s="179">
        <f>FeedValues!L24</f>
        <v>0</v>
      </c>
      <c r="AT3" s="180">
        <f>FeedValues!B31</f>
        <v>13</v>
      </c>
      <c r="AU3" s="180">
        <f>FeedValues!C31</f>
        <v>12</v>
      </c>
      <c r="AV3" s="180">
        <f>FeedValues!D31</f>
        <v>12</v>
      </c>
      <c r="AW3" s="180">
        <f>FeedValues!E31</f>
        <v>0</v>
      </c>
      <c r="AX3" s="180">
        <f>FeedValues!F31</f>
        <v>0</v>
      </c>
      <c r="AY3" s="180">
        <f>FeedValues!G31</f>
        <v>0</v>
      </c>
      <c r="AZ3" s="180">
        <f>FeedValues!H31</f>
        <v>0</v>
      </c>
      <c r="BA3" s="180">
        <f>FeedValues!I31</f>
        <v>0</v>
      </c>
      <c r="BB3" s="180">
        <f>FeedValues!J31</f>
        <v>0</v>
      </c>
      <c r="BC3" s="195">
        <f>FeedValues!K31</f>
        <v>0</v>
      </c>
      <c r="BD3" s="195">
        <f>FeedValues!L31</f>
        <v>0</v>
      </c>
      <c r="BE3" s="120"/>
      <c r="BF3" s="207"/>
    </row>
    <row r="4" spans="1:71" ht="15" hidden="1" x14ac:dyDescent="0.25">
      <c r="A4" s="181" t="s">
        <v>19</v>
      </c>
      <c r="B4" s="179">
        <f>FeedValues!B6</f>
        <v>14</v>
      </c>
      <c r="C4" s="179">
        <f>FeedValues!C6</f>
        <v>13</v>
      </c>
      <c r="D4" s="179">
        <f>FeedValues!D6</f>
        <v>12</v>
      </c>
      <c r="E4" s="179">
        <f>FeedValues!E6</f>
        <v>10</v>
      </c>
      <c r="F4" s="179">
        <f>FeedValues!F6</f>
        <v>12</v>
      </c>
      <c r="G4" s="179">
        <f>FeedValues!G6</f>
        <v>10</v>
      </c>
      <c r="H4" s="179">
        <f>FeedValues!H6</f>
        <v>34</v>
      </c>
      <c r="I4" s="179">
        <f>FeedValues!I6</f>
        <v>25</v>
      </c>
      <c r="J4" s="179">
        <f>FeedValues!J6</f>
        <v>25.5</v>
      </c>
      <c r="K4" s="179">
        <f>FeedValues!K6</f>
        <v>20</v>
      </c>
      <c r="L4" s="179">
        <f>FeedValues!L6</f>
        <v>20</v>
      </c>
      <c r="M4" s="179">
        <f>FeedValues!B12</f>
        <v>45</v>
      </c>
      <c r="N4" s="179">
        <f>FeedValues!C12</f>
        <v>20</v>
      </c>
      <c r="O4" s="179">
        <f>FeedValues!D12</f>
        <v>60</v>
      </c>
      <c r="P4" s="179">
        <f>FeedValues!E12</f>
        <v>45</v>
      </c>
      <c r="Q4" s="179">
        <f>FeedValues!F12</f>
        <v>25</v>
      </c>
      <c r="R4" s="179">
        <f>FeedValues!G12</f>
        <v>50</v>
      </c>
      <c r="S4" s="179">
        <f>FeedValues!H12</f>
        <v>42</v>
      </c>
      <c r="T4" s="179">
        <f>FeedValues!I12</f>
        <v>0</v>
      </c>
      <c r="U4" s="179">
        <f>FeedValues!J12</f>
        <v>0</v>
      </c>
      <c r="V4" s="179">
        <f>FeedValues!K12</f>
        <v>0</v>
      </c>
      <c r="W4" s="179">
        <f>FeedValues!L12</f>
        <v>0</v>
      </c>
      <c r="X4" s="179">
        <f>FeedValues!B19</f>
        <v>6</v>
      </c>
      <c r="Y4" s="179">
        <f>FeedValues!C19</f>
        <v>12</v>
      </c>
      <c r="Z4" s="179">
        <f>FeedValues!D19</f>
        <v>8</v>
      </c>
      <c r="AA4" s="179">
        <f>FeedValues!E19</f>
        <v>18</v>
      </c>
      <c r="AB4" s="179">
        <f>FeedValues!F19</f>
        <v>8</v>
      </c>
      <c r="AC4" s="179">
        <f>FeedValues!G19</f>
        <v>0</v>
      </c>
      <c r="AD4" s="179">
        <f>FeedValues!H19</f>
        <v>12</v>
      </c>
      <c r="AE4" s="179">
        <f>FeedValues!I19</f>
        <v>14</v>
      </c>
      <c r="AF4" s="179">
        <f>FeedValues!J19</f>
        <v>18</v>
      </c>
      <c r="AG4" s="179">
        <f>FeedValues!K19</f>
        <v>17</v>
      </c>
      <c r="AH4" s="179">
        <f>FeedValues!L19</f>
        <v>17</v>
      </c>
      <c r="AI4" s="179">
        <f>FeedValues!B25</f>
        <v>0</v>
      </c>
      <c r="AJ4" s="179">
        <f>FeedValues!C25</f>
        <v>0</v>
      </c>
      <c r="AK4" s="179">
        <f>FeedValues!D25</f>
        <v>0</v>
      </c>
      <c r="AL4" s="179">
        <f>FeedValues!E25</f>
        <v>0</v>
      </c>
      <c r="AM4" s="179">
        <f>FeedValues!F25</f>
        <v>0</v>
      </c>
      <c r="AN4" s="179">
        <f>FeedValues!G25</f>
        <v>0</v>
      </c>
      <c r="AO4" s="179">
        <f>FeedValues!H25</f>
        <v>0</v>
      </c>
      <c r="AP4" s="179">
        <f>FeedValues!I25</f>
        <v>0</v>
      </c>
      <c r="AQ4" s="179">
        <f>FeedValues!J25</f>
        <v>0</v>
      </c>
      <c r="AR4" s="179">
        <f>FeedValues!K25</f>
        <v>0</v>
      </c>
      <c r="AS4" s="179">
        <f>FeedValues!L25</f>
        <v>0</v>
      </c>
      <c r="AT4" s="180">
        <f>FeedValues!B32</f>
        <v>16.5</v>
      </c>
      <c r="AU4" s="180">
        <f>FeedValues!C32</f>
        <v>8</v>
      </c>
      <c r="AV4" s="180">
        <f>FeedValues!D32</f>
        <v>14</v>
      </c>
      <c r="AW4" s="180">
        <f>FeedValues!E32</f>
        <v>0</v>
      </c>
      <c r="AX4" s="180">
        <f>FeedValues!F32</f>
        <v>0</v>
      </c>
      <c r="AY4" s="180">
        <f>FeedValues!G32</f>
        <v>0</v>
      </c>
      <c r="AZ4" s="180">
        <f>FeedValues!H32</f>
        <v>0</v>
      </c>
      <c r="BA4" s="180">
        <f>FeedValues!I32</f>
        <v>0</v>
      </c>
      <c r="BB4" s="180">
        <f>FeedValues!J32</f>
        <v>0</v>
      </c>
      <c r="BC4" s="195">
        <f>FeedValues!K32</f>
        <v>0</v>
      </c>
      <c r="BD4" s="195">
        <f>FeedValues!L32</f>
        <v>0</v>
      </c>
      <c r="BE4" s="120"/>
      <c r="BF4" s="207"/>
    </row>
    <row r="5" spans="1:71" ht="15" hidden="1" x14ac:dyDescent="0.25">
      <c r="A5" s="181" t="s">
        <v>17</v>
      </c>
      <c r="B5" s="179">
        <f>FeedValues!B7</f>
        <v>90</v>
      </c>
      <c r="C5" s="179">
        <f>FeedValues!C7</f>
        <v>90</v>
      </c>
      <c r="D5" s="179">
        <f>FeedValues!D7</f>
        <v>90</v>
      </c>
      <c r="E5" s="179">
        <f>FeedValues!E7</f>
        <v>90</v>
      </c>
      <c r="F5" s="179">
        <f>FeedValues!F7</f>
        <v>90</v>
      </c>
      <c r="G5" s="179">
        <f>FeedValues!G7</f>
        <v>90</v>
      </c>
      <c r="H5" s="179">
        <f>FeedValues!H7</f>
        <v>90</v>
      </c>
      <c r="I5" s="179">
        <f>FeedValues!I7</f>
        <v>90</v>
      </c>
      <c r="J5" s="179">
        <f>FeedValues!J7</f>
        <v>90</v>
      </c>
      <c r="K5" s="179">
        <f>FeedValues!K7</f>
        <v>90</v>
      </c>
      <c r="L5" s="179">
        <f>FeedValues!L7</f>
        <v>90</v>
      </c>
      <c r="M5" s="179">
        <f>FeedValues!B13</f>
        <v>90</v>
      </c>
      <c r="N5" s="179">
        <f>FeedValues!C13</f>
        <v>90</v>
      </c>
      <c r="O5" s="179">
        <f>FeedValues!D13</f>
        <v>90</v>
      </c>
      <c r="P5" s="179">
        <f>FeedValues!E13</f>
        <v>90</v>
      </c>
      <c r="Q5" s="179">
        <f>FeedValues!F13</f>
        <v>90</v>
      </c>
      <c r="R5" s="179">
        <f>FeedValues!G13</f>
        <v>90</v>
      </c>
      <c r="S5" s="179">
        <f>FeedValues!H13</f>
        <v>90</v>
      </c>
      <c r="T5" s="179">
        <f>FeedValues!I13</f>
        <v>0</v>
      </c>
      <c r="U5" s="179">
        <f>FeedValues!J13</f>
        <v>0</v>
      </c>
      <c r="V5" s="179">
        <f>FeedValues!K13</f>
        <v>0</v>
      </c>
      <c r="W5" s="179">
        <f>FeedValues!L13</f>
        <v>0</v>
      </c>
      <c r="X5" s="179">
        <f>FeedValues!B20</f>
        <v>88</v>
      </c>
      <c r="Y5" s="179">
        <f>FeedValues!C20</f>
        <v>88</v>
      </c>
      <c r="Z5" s="179">
        <f>FeedValues!D20</f>
        <v>88</v>
      </c>
      <c r="AA5" s="179">
        <f>FeedValues!E20</f>
        <v>90</v>
      </c>
      <c r="AB5" s="179">
        <f>FeedValues!F20</f>
        <v>88</v>
      </c>
      <c r="AC5" s="179">
        <f>FeedValues!G20</f>
        <v>0</v>
      </c>
      <c r="AD5" s="179">
        <f>FeedValues!H20</f>
        <v>42</v>
      </c>
      <c r="AE5" s="179">
        <f>FeedValues!I20</f>
        <v>70</v>
      </c>
      <c r="AF5" s="179">
        <f>FeedValues!J20</f>
        <v>50</v>
      </c>
      <c r="AG5" s="179">
        <f>FeedValues!K20</f>
        <v>50</v>
      </c>
      <c r="AH5" s="179">
        <f>FeedValues!L20</f>
        <v>50</v>
      </c>
      <c r="AI5" s="179">
        <f>FeedValues!B26</f>
        <v>100</v>
      </c>
      <c r="AJ5" s="179">
        <f>FeedValues!C26</f>
        <v>100</v>
      </c>
      <c r="AK5" s="179">
        <f>FeedValues!D26</f>
        <v>100</v>
      </c>
      <c r="AL5" s="179">
        <f>FeedValues!E26</f>
        <v>100</v>
      </c>
      <c r="AM5" s="179">
        <f>FeedValues!F26</f>
        <v>99</v>
      </c>
      <c r="AN5" s="179">
        <f>FeedValues!G26</f>
        <v>100</v>
      </c>
      <c r="AO5" s="179">
        <f>FeedValues!H26</f>
        <v>76</v>
      </c>
      <c r="AP5" s="179">
        <f>FeedValues!I26</f>
        <v>100</v>
      </c>
      <c r="AQ5" s="179">
        <f>FeedValues!J26</f>
        <v>100</v>
      </c>
      <c r="AR5" s="179">
        <f>FeedValues!K26</f>
        <v>0</v>
      </c>
      <c r="AS5" s="179">
        <f>FeedValues!L26</f>
        <v>0</v>
      </c>
      <c r="AT5" s="180">
        <f>FeedValues!B33</f>
        <v>90</v>
      </c>
      <c r="AU5" s="180">
        <f>FeedValues!C33</f>
        <v>10</v>
      </c>
      <c r="AV5" s="180">
        <f>FeedValues!D33</f>
        <v>90</v>
      </c>
      <c r="AW5" s="180">
        <f>FeedValues!E33</f>
        <v>0</v>
      </c>
      <c r="AX5" s="180">
        <f>FeedValues!F33</f>
        <v>0</v>
      </c>
      <c r="AY5" s="180">
        <f>FeedValues!G33</f>
        <v>0</v>
      </c>
      <c r="AZ5" s="180">
        <f>FeedValues!H33</f>
        <v>0</v>
      </c>
      <c r="BA5" s="180">
        <f>FeedValues!I33</f>
        <v>0</v>
      </c>
      <c r="BB5" s="180">
        <f>FeedValues!J33</f>
        <v>0</v>
      </c>
      <c r="BC5" s="195">
        <f>FeedValues!K33</f>
        <v>0</v>
      </c>
      <c r="BD5" s="195">
        <f>FeedValues!L33</f>
        <v>0</v>
      </c>
      <c r="BE5" s="180"/>
      <c r="BF5" s="207"/>
    </row>
    <row r="6" spans="1:71" ht="15" hidden="1" x14ac:dyDescent="0.25">
      <c r="A6" s="182" t="s">
        <v>135</v>
      </c>
      <c r="B6" s="183">
        <f>VLOOKUP(B$1,FeedValues!$A$50:$G$105,6,FALSE)</f>
        <v>0.1</v>
      </c>
      <c r="C6" s="183">
        <f>VLOOKUP(C$1,FeedValues!$A$50:$G$105,6,FALSE)</f>
        <v>0.1</v>
      </c>
      <c r="D6" s="183">
        <f>VLOOKUP(D$1,FeedValues!$A$50:$G$105,6,FALSE)</f>
        <v>0.04</v>
      </c>
      <c r="E6" s="183">
        <f>VLOOKUP(E$1,FeedValues!$A$50:$G$105,6,FALSE)</f>
        <v>0.02</v>
      </c>
      <c r="F6" s="183">
        <f>VLOOKUP(F$1,FeedValues!$A$50:$G$105,6,FALSE)</f>
        <v>0.1</v>
      </c>
      <c r="G6" s="183">
        <f>VLOOKUP(G$1,FeedValues!$A$50:$G$105,6,FALSE)</f>
        <v>0.1</v>
      </c>
      <c r="H6" s="183">
        <f>VLOOKUP(H$1,FeedValues!$A$50:$G$105,6,FALSE)</f>
        <v>0.2</v>
      </c>
      <c r="I6" s="183">
        <f>VLOOKUP(I$1,FeedValues!$A$50:$G$105,6,FALSE)</f>
        <v>0.2</v>
      </c>
      <c r="J6" s="183">
        <f>VLOOKUP(J$1,FeedValues!$A$50:$G$105,6,FALSE)</f>
        <v>0.2</v>
      </c>
      <c r="K6" s="183">
        <f>VLOOKUP(K$1,FeedValues!$A$50:$G$105,6,FALSE)</f>
        <v>0.1</v>
      </c>
      <c r="L6" s="183">
        <f>VLOOKUP(L$1,FeedValues!$A$50:$G$105,6,FALSE)</f>
        <v>0.2</v>
      </c>
      <c r="M6" s="183">
        <f>VLOOKUP(M$1,FeedValues!$A$50:$G$105,6,FALSE)</f>
        <v>0.7</v>
      </c>
      <c r="N6" s="183">
        <f>VLOOKUP(N$1,FeedValues!$A$50:$G$105,6,FALSE)</f>
        <v>0.2</v>
      </c>
      <c r="O6" s="183">
        <f>VLOOKUP(O$1,FeedValues!$A$50:$G$105,6,FALSE)</f>
        <v>0.3</v>
      </c>
      <c r="P6" s="183">
        <f>VLOOKUP(P$1,FeedValues!$A$50:$G$105,6,FALSE)</f>
        <v>0.2</v>
      </c>
      <c r="Q6" s="183">
        <f>VLOOKUP(Q$1,FeedValues!$A$50:$G$105,6,FALSE)</f>
        <v>0.35</v>
      </c>
      <c r="R6" s="183">
        <f>VLOOKUP(R$1,FeedValues!$A$50:$G$105,6,FALSE)</f>
        <v>0.4</v>
      </c>
      <c r="S6" s="183">
        <f>VLOOKUP(S$1,FeedValues!$A$50:$G$105,6,FALSE)</f>
        <v>0.4</v>
      </c>
      <c r="T6" s="183">
        <f>VLOOKUP(T$1,FeedValues!$A$50:$G$105,6,FALSE)</f>
        <v>0</v>
      </c>
      <c r="U6" s="183">
        <f>VLOOKUP(U$1,FeedValues!$A$50:$G$105,6,FALSE)</f>
        <v>0</v>
      </c>
      <c r="V6" s="183">
        <f>VLOOKUP(V$1,FeedValues!$A$50:$G$105,6,FALSE)</f>
        <v>0</v>
      </c>
      <c r="W6" s="183">
        <f>VLOOKUP(W$1,FeedValues!$A$50:$G$105,6,FALSE)</f>
        <v>0</v>
      </c>
      <c r="X6" s="183">
        <f>VLOOKUP(X$1,FeedValues!$A$50:$G$105,6,FALSE)</f>
        <v>0.8</v>
      </c>
      <c r="Y6" s="183">
        <f>VLOOKUP(Y$1,FeedValues!$A$50:$G$105,6,FALSE)</f>
        <v>0.2</v>
      </c>
      <c r="Z6" s="183">
        <f>VLOOKUP(Z$1,FeedValues!$A$50:$G$105,6,FALSE)</f>
        <v>0.2</v>
      </c>
      <c r="AA6" s="183">
        <f>VLOOKUP(AA$1,FeedValues!$A$50:$G$105,6,FALSE)</f>
        <v>1.4</v>
      </c>
      <c r="AB6" s="183">
        <f>VLOOKUP(AB$1,FeedValues!$A$50:$G$105,6,FALSE)</f>
        <v>0.8</v>
      </c>
      <c r="AC6" s="183">
        <f>VLOOKUP(AC$1,FeedValues!$A$50:$G$105,6,FALSE)</f>
        <v>0</v>
      </c>
      <c r="AD6" s="183">
        <f>VLOOKUP(AD$1,FeedValues!$A$50:$G$105,6,FALSE)</f>
        <v>0.5</v>
      </c>
      <c r="AE6" s="183">
        <f>VLOOKUP(AE$1,FeedValues!$A$50:$G$105,6,FALSE)</f>
        <v>1</v>
      </c>
      <c r="AF6" s="183">
        <f>VLOOKUP(AF$1,FeedValues!$A$50:$G$105,6,FALSE)</f>
        <v>1.4</v>
      </c>
      <c r="AG6" s="183">
        <f>VLOOKUP(AG$1,FeedValues!$A$50:$G$105,6,FALSE)</f>
        <v>0.3</v>
      </c>
      <c r="AH6" s="183">
        <f>VLOOKUP(AH$1,FeedValues!$A$50:$G$105,6,FALSE)</f>
        <v>0.3</v>
      </c>
      <c r="AI6" s="183">
        <f>VLOOKUP(AI$1,FeedValues!$A$50:$G$105,6,FALSE)</f>
        <v>0</v>
      </c>
      <c r="AJ6" s="183">
        <f>VLOOKUP(AJ$1,FeedValues!$A$50:$G$105,6,FALSE)</f>
        <v>0</v>
      </c>
      <c r="AK6" s="183">
        <f>VLOOKUP(AK$1,FeedValues!$A$50:$G$105,6,FALSE)</f>
        <v>36.1</v>
      </c>
      <c r="AL6" s="183">
        <f>VLOOKUP(AL$1,FeedValues!$A$50:$G$105,6,FALSE)</f>
        <v>0</v>
      </c>
      <c r="AM6" s="183">
        <f>VLOOKUP(AM$1,FeedValues!$A$50:$G$105,6,FALSE)</f>
        <v>0</v>
      </c>
      <c r="AN6" s="183">
        <f>VLOOKUP(AN$1,FeedValues!$A$50:$G$105,6,FALSE)</f>
        <v>0</v>
      </c>
      <c r="AO6" s="183">
        <f>VLOOKUP(AO$1,FeedValues!$A$50:$G$105,6,FALSE)</f>
        <v>0.12</v>
      </c>
      <c r="AP6" s="183">
        <f>VLOOKUP(AP$1,FeedValues!$A$50:$G$105,6,FALSE)</f>
        <v>30</v>
      </c>
      <c r="AQ6" s="183">
        <f>VLOOKUP(AQ$1,FeedValues!$A$50:$G$105,6,FALSE)</f>
        <v>0</v>
      </c>
      <c r="AR6" s="183">
        <f>VLOOKUP(AR$1,FeedValues!$A$50:$G$105,6,FALSE)</f>
        <v>0</v>
      </c>
      <c r="AS6" s="183">
        <f>VLOOKUP(AS$1,FeedValues!$A$50:$G$105,6,FALSE)</f>
        <v>0</v>
      </c>
      <c r="AT6" s="183">
        <f>VLOOKUP(AT$1,FeedValues!$A$50:$G$105,6,FALSE)</f>
        <v>3</v>
      </c>
      <c r="AU6" s="183">
        <f>VLOOKUP(AU$1,FeedValues!$A$50:$G$105,6,FALSE)</f>
        <v>3</v>
      </c>
      <c r="AV6" s="183">
        <f>VLOOKUP(AV$1,FeedValues!$A$50:$G$105,6,FALSE)</f>
        <v>3</v>
      </c>
      <c r="AW6" s="183">
        <f>VLOOKUP(AW$1,FeedValues!$A$50:$G$105,6,FALSE)</f>
        <v>0</v>
      </c>
      <c r="AX6" s="183">
        <f>VLOOKUP(AX$1,FeedValues!$A$50:$G$105,6,FALSE)</f>
        <v>0</v>
      </c>
      <c r="AY6" s="183">
        <f>VLOOKUP(AY$1,FeedValues!$A$50:$G$105,6,FALSE)</f>
        <v>0</v>
      </c>
      <c r="AZ6" s="183">
        <f>VLOOKUP(AZ$1,FeedValues!$A$50:$G$105,6,FALSE)</f>
        <v>0</v>
      </c>
      <c r="BA6" s="183">
        <f>VLOOKUP(BA$1,FeedValues!$A$50:$G$105,6,FALSE)</f>
        <v>0</v>
      </c>
      <c r="BB6" s="183">
        <f>VLOOKUP(BB$1,FeedValues!$A$50:$G$105,6,FALSE)</f>
        <v>0</v>
      </c>
      <c r="BC6" s="183">
        <f>VLOOKUP(BC$1,FeedValues!$A$50:$G$105,6,FALSE)</f>
        <v>0</v>
      </c>
      <c r="BD6" s="183">
        <f>VLOOKUP(BD$1,FeedValues!$A$50:$G$105,6,FALSE)</f>
        <v>0</v>
      </c>
      <c r="BE6" s="180"/>
      <c r="BF6" s="207"/>
    </row>
    <row r="7" spans="1:71" ht="15" hidden="1" x14ac:dyDescent="0.25">
      <c r="A7" s="182" t="s">
        <v>136</v>
      </c>
      <c r="B7" s="183">
        <f>VLOOKUP(B$1,FeedValues!$A$50:$G$105,7,FALSE)</f>
        <v>0.4</v>
      </c>
      <c r="C7" s="183">
        <f>VLOOKUP(C$1,FeedValues!$A$50:$G$105,7,FALSE)</f>
        <v>0.4</v>
      </c>
      <c r="D7" s="183">
        <f>VLOOKUP(D$1,FeedValues!$A$50:$G$105,7,FALSE)</f>
        <v>0.3</v>
      </c>
      <c r="E7" s="183">
        <f>VLOOKUP(E$1,FeedValues!$A$50:$G$105,7,FALSE)</f>
        <v>0.3</v>
      </c>
      <c r="F7" s="183">
        <f>VLOOKUP(F$1,FeedValues!$A$50:$G$105,7,FALSE)</f>
        <v>0.4</v>
      </c>
      <c r="G7" s="183">
        <f>VLOOKUP(G$1,FeedValues!$A$50:$G$105,7,FALSE)</f>
        <v>0.4</v>
      </c>
      <c r="H7" s="183">
        <f>VLOOKUP(H$1,FeedValues!$A$50:$G$105,7,FALSE)</f>
        <v>0.3</v>
      </c>
      <c r="I7" s="183">
        <f>VLOOKUP(I$1,FeedValues!$A$50:$G$105,7,FALSE)</f>
        <v>0.2</v>
      </c>
      <c r="J7" s="183">
        <f>VLOOKUP(J$1,FeedValues!$A$50:$G$105,7,FALSE)</f>
        <v>0.5</v>
      </c>
      <c r="K7" s="183">
        <f>VLOOKUP(K$1,FeedValues!$A$50:$G$105,7,FALSE)</f>
        <v>0.6</v>
      </c>
      <c r="L7" s="183">
        <f>VLOOKUP(L$1,FeedValues!$A$50:$G$105,7,FALSE)</f>
        <v>0.7</v>
      </c>
      <c r="M7" s="183">
        <f>VLOOKUP(M$1,FeedValues!$A$50:$G$105,7,FALSE)</f>
        <v>1.1000000000000001</v>
      </c>
      <c r="N7" s="183">
        <f>VLOOKUP(N$1,FeedValues!$A$50:$G$105,7,FALSE)</f>
        <v>0.7</v>
      </c>
      <c r="O7" s="183">
        <f>VLOOKUP(O$1,FeedValues!$A$50:$G$105,7,FALSE)</f>
        <v>0.6</v>
      </c>
      <c r="P7" s="183">
        <f>VLOOKUP(P$1,FeedValues!$A$50:$G$105,7,FALSE)</f>
        <v>1.3</v>
      </c>
      <c r="Q7" s="183">
        <f>VLOOKUP(Q$1,FeedValues!$A$50:$G$105,7,FALSE)</f>
        <v>0.8</v>
      </c>
      <c r="R7" s="183">
        <f>VLOOKUP(R$1,FeedValues!$A$50:$G$105,7,FALSE)</f>
        <v>0.8</v>
      </c>
      <c r="S7" s="183">
        <f>VLOOKUP(S$1,FeedValues!$A$50:$G$105,7,FALSE)</f>
        <v>0.8</v>
      </c>
      <c r="T7" s="183">
        <f>VLOOKUP(T$1,FeedValues!$A$50:$G$105,7,FALSE)</f>
        <v>0</v>
      </c>
      <c r="U7" s="183">
        <f>VLOOKUP(U$1,FeedValues!$A$50:$G$105,7,FALSE)</f>
        <v>0</v>
      </c>
      <c r="V7" s="183">
        <f>VLOOKUP(V$1,FeedValues!$A$50:$G$105,7,FALSE)</f>
        <v>0</v>
      </c>
      <c r="W7" s="183">
        <f>VLOOKUP(W$1,FeedValues!$A$50:$G$105,7,FALSE)</f>
        <v>0</v>
      </c>
      <c r="X7" s="183">
        <f>VLOOKUP(X$1,FeedValues!$A$50:$G$105,7,FALSE)</f>
        <v>0.3</v>
      </c>
      <c r="Y7" s="183">
        <f>VLOOKUP(Y$1,FeedValues!$A$50:$G$105,7,FALSE)</f>
        <v>0.3</v>
      </c>
      <c r="Z7" s="183">
        <f>VLOOKUP(Z$1,FeedValues!$A$50:$G$105,7,FALSE)</f>
        <v>0.3</v>
      </c>
      <c r="AA7" s="183">
        <f>VLOOKUP(AA$1,FeedValues!$A$50:$G$105,7,FALSE)</f>
        <v>0.3</v>
      </c>
      <c r="AB7" s="183">
        <f>VLOOKUP(AB$1,FeedValues!$A$50:$G$105,7,FALSE)</f>
        <v>0.3</v>
      </c>
      <c r="AC7" s="183">
        <f>VLOOKUP(AC$1,FeedValues!$A$50:$G$105,7,FALSE)</f>
        <v>0</v>
      </c>
      <c r="AD7" s="183">
        <f>VLOOKUP(AD$1,FeedValues!$A$50:$G$105,7,FALSE)</f>
        <v>0.3</v>
      </c>
      <c r="AE7" s="183">
        <f>VLOOKUP(AE$1,FeedValues!$A$50:$G$105,7,FALSE)</f>
        <v>0.3</v>
      </c>
      <c r="AF7" s="183">
        <f>VLOOKUP(AF$1,FeedValues!$A$50:$G$105,7,FALSE)</f>
        <v>0.3</v>
      </c>
      <c r="AG7" s="183">
        <f>VLOOKUP(AG$1,FeedValues!$A$50:$G$105,7,FALSE)</f>
        <v>0.2</v>
      </c>
      <c r="AH7" s="183">
        <f>VLOOKUP(AH$1,FeedValues!$A$50:$G$105,7,FALSE)</f>
        <v>0.2</v>
      </c>
      <c r="AI7" s="183">
        <f>VLOOKUP(AI$1,FeedValues!$A$50:$G$105,7,FALSE)</f>
        <v>0</v>
      </c>
      <c r="AJ7" s="183">
        <f>VLOOKUP(AJ$1,FeedValues!$A$50:$G$105,7,FALSE)</f>
        <v>0</v>
      </c>
      <c r="AK7" s="183">
        <f>VLOOKUP(AK$1,FeedValues!$A$50:$G$105,7,FALSE)</f>
        <v>0</v>
      </c>
      <c r="AL7" s="183">
        <f>VLOOKUP(AL$1,FeedValues!$A$50:$G$105,7,FALSE)</f>
        <v>0</v>
      </c>
      <c r="AM7" s="183">
        <f>VLOOKUP(AM$1,FeedValues!$A$50:$G$105,7,FALSE)</f>
        <v>0</v>
      </c>
      <c r="AN7" s="183">
        <f>VLOOKUP(AN$1,FeedValues!$A$50:$G$105,7,FALSE)</f>
        <v>0</v>
      </c>
      <c r="AO7" s="183">
        <f>VLOOKUP(AO$1,FeedValues!$A$50:$G$105,7,FALSE)</f>
        <v>0.03</v>
      </c>
      <c r="AP7" s="183">
        <f>VLOOKUP(AP$1,FeedValues!$A$50:$G$105,7,FALSE)</f>
        <v>0</v>
      </c>
      <c r="AQ7" s="183">
        <f>VLOOKUP(AQ$1,FeedValues!$A$50:$G$105,7,FALSE)</f>
        <v>0</v>
      </c>
      <c r="AR7" s="183">
        <f>VLOOKUP(AR$1,FeedValues!$A$50:$G$105,7,FALSE)</f>
        <v>0</v>
      </c>
      <c r="AS7" s="183">
        <f>VLOOKUP(AS$1,FeedValues!$A$50:$G$105,7,FALSE)</f>
        <v>0</v>
      </c>
      <c r="AT7" s="183">
        <f>VLOOKUP(AT$1,FeedValues!$A$50:$G$105,7,FALSE)</f>
        <v>1</v>
      </c>
      <c r="AU7" s="183">
        <f>VLOOKUP(AU$1,FeedValues!$A$50:$G$105,7,FALSE)</f>
        <v>1</v>
      </c>
      <c r="AV7" s="183">
        <f>VLOOKUP(AV$1,FeedValues!$A$50:$G$105,7,FALSE)</f>
        <v>1</v>
      </c>
      <c r="AW7" s="183">
        <f>VLOOKUP(AW$1,FeedValues!$A$50:$G$105,7,FALSE)</f>
        <v>0</v>
      </c>
      <c r="AX7" s="183">
        <f>VLOOKUP(AX$1,FeedValues!$A$50:$G$105,7,FALSE)</f>
        <v>0</v>
      </c>
      <c r="AY7" s="183">
        <f>VLOOKUP(AY$1,FeedValues!$A$50:$G$105,7,FALSE)</f>
        <v>0</v>
      </c>
      <c r="AZ7" s="183">
        <f>VLOOKUP(AZ$1,FeedValues!$A$50:$G$105,7,FALSE)</f>
        <v>0</v>
      </c>
      <c r="BA7" s="183">
        <f>VLOOKUP(BA$1,FeedValues!$A$50:$G$105,7,FALSE)</f>
        <v>0</v>
      </c>
      <c r="BB7" s="183">
        <f>VLOOKUP(BB$1,FeedValues!$A$50:$G$105,7,FALSE)</f>
        <v>0</v>
      </c>
      <c r="BC7" s="183">
        <f>VLOOKUP(BC$1,FeedValues!$A$50:$G$105,7,FALSE)</f>
        <v>0</v>
      </c>
      <c r="BD7" s="183">
        <f>VLOOKUP(BD$1,FeedValues!$A$50:$G$105,7,FALSE)</f>
        <v>0</v>
      </c>
      <c r="BE7" s="180"/>
      <c r="BF7" s="207"/>
    </row>
    <row r="8" spans="1:71" ht="15" hidden="1" customHeight="1" x14ac:dyDescent="0.25">
      <c r="A8" s="184" t="s">
        <v>192</v>
      </c>
      <c r="B8" s="185" t="str">
        <f t="shared" ref="B8:K8" si="0">IF(ISNA(B11),"",(B2*100/B$5))</f>
        <v/>
      </c>
      <c r="C8" s="185" t="str">
        <f t="shared" si="0"/>
        <v/>
      </c>
      <c r="D8" s="185" t="str">
        <f t="shared" si="0"/>
        <v/>
      </c>
      <c r="E8" s="185" t="str">
        <f t="shared" si="0"/>
        <v/>
      </c>
      <c r="F8" s="185" t="str">
        <f t="shared" si="0"/>
        <v/>
      </c>
      <c r="G8" s="185" t="str">
        <f t="shared" si="0"/>
        <v/>
      </c>
      <c r="H8" s="185" t="str">
        <f t="shared" si="0"/>
        <v/>
      </c>
      <c r="I8" s="185" t="str">
        <f t="shared" si="0"/>
        <v/>
      </c>
      <c r="J8" s="185" t="str">
        <f t="shared" si="0"/>
        <v/>
      </c>
      <c r="K8" s="185" t="str">
        <f t="shared" si="0"/>
        <v/>
      </c>
      <c r="L8" s="185" t="str">
        <f>IF(ISNA(L11),"",(L2*100/L$5))</f>
        <v/>
      </c>
      <c r="M8" s="185" t="str">
        <f t="shared" ref="M8:BC8" si="1">IF(ISNA(M11),"",(M2*100/M$5))</f>
        <v/>
      </c>
      <c r="N8" s="185" t="str">
        <f t="shared" si="1"/>
        <v/>
      </c>
      <c r="O8" s="185" t="str">
        <f t="shared" si="1"/>
        <v/>
      </c>
      <c r="P8" s="185" t="str">
        <f t="shared" si="1"/>
        <v/>
      </c>
      <c r="Q8" s="185" t="str">
        <f t="shared" si="1"/>
        <v/>
      </c>
      <c r="R8" s="185" t="str">
        <f t="shared" si="1"/>
        <v/>
      </c>
      <c r="S8" s="185" t="str">
        <f t="shared" si="1"/>
        <v/>
      </c>
      <c r="T8" s="185" t="str">
        <f t="shared" si="1"/>
        <v/>
      </c>
      <c r="U8" s="185" t="str">
        <f t="shared" si="1"/>
        <v/>
      </c>
      <c r="V8" s="185" t="str">
        <f t="shared" si="1"/>
        <v/>
      </c>
      <c r="W8" s="185" t="str">
        <f>IF(ISNA(W11),"",(W2*100/W$5))</f>
        <v/>
      </c>
      <c r="X8" s="185" t="str">
        <f t="shared" si="1"/>
        <v/>
      </c>
      <c r="Y8" s="185" t="str">
        <f t="shared" si="1"/>
        <v/>
      </c>
      <c r="Z8" s="185" t="str">
        <f t="shared" si="1"/>
        <v/>
      </c>
      <c r="AA8" s="185" t="str">
        <f t="shared" si="1"/>
        <v/>
      </c>
      <c r="AB8" s="185" t="str">
        <f t="shared" si="1"/>
        <v/>
      </c>
      <c r="AC8" s="185" t="str">
        <f t="shared" si="1"/>
        <v/>
      </c>
      <c r="AD8" s="185" t="str">
        <f t="shared" si="1"/>
        <v/>
      </c>
      <c r="AE8" s="185" t="str">
        <f t="shared" si="1"/>
        <v/>
      </c>
      <c r="AF8" s="185" t="str">
        <f t="shared" si="1"/>
        <v/>
      </c>
      <c r="AG8" s="185" t="str">
        <f t="shared" si="1"/>
        <v/>
      </c>
      <c r="AH8" s="185" t="str">
        <f>IF(ISNA(AH11),"",(AH2*100/AH$5))</f>
        <v/>
      </c>
      <c r="AI8" s="185" t="str">
        <f t="shared" si="1"/>
        <v/>
      </c>
      <c r="AJ8" s="185" t="str">
        <f t="shared" si="1"/>
        <v/>
      </c>
      <c r="AK8" s="185" t="str">
        <f t="shared" si="1"/>
        <v/>
      </c>
      <c r="AL8" s="185" t="str">
        <f t="shared" si="1"/>
        <v/>
      </c>
      <c r="AM8" s="185" t="str">
        <f t="shared" si="1"/>
        <v/>
      </c>
      <c r="AN8" s="185" t="str">
        <f t="shared" si="1"/>
        <v/>
      </c>
      <c r="AO8" s="185" t="str">
        <f t="shared" si="1"/>
        <v/>
      </c>
      <c r="AP8" s="185" t="str">
        <f t="shared" si="1"/>
        <v/>
      </c>
      <c r="AQ8" s="185" t="str">
        <f t="shared" si="1"/>
        <v/>
      </c>
      <c r="AR8" s="185" t="str">
        <f t="shared" si="1"/>
        <v/>
      </c>
      <c r="AS8" s="185" t="str">
        <f>IF(ISNA(AS11),"",(AS2*100/AS$5))</f>
        <v/>
      </c>
      <c r="AT8" s="185">
        <f t="shared" si="1"/>
        <v>311.11111111111109</v>
      </c>
      <c r="AU8" s="185" t="str">
        <f t="shared" si="1"/>
        <v/>
      </c>
      <c r="AV8" s="185" t="str">
        <f t="shared" si="1"/>
        <v/>
      </c>
      <c r="AW8" s="185" t="str">
        <f t="shared" si="1"/>
        <v/>
      </c>
      <c r="AX8" s="185" t="str">
        <f t="shared" si="1"/>
        <v/>
      </c>
      <c r="AY8" s="185" t="str">
        <f t="shared" si="1"/>
        <v/>
      </c>
      <c r="AZ8" s="185" t="str">
        <f t="shared" si="1"/>
        <v/>
      </c>
      <c r="BA8" s="185" t="str">
        <f t="shared" si="1"/>
        <v/>
      </c>
      <c r="BB8" s="185" t="str">
        <f t="shared" si="1"/>
        <v/>
      </c>
      <c r="BC8" s="196" t="str">
        <f t="shared" si="1"/>
        <v/>
      </c>
      <c r="BD8" s="196" t="str">
        <f>IF(ISNA(BD11),"",(BD2*100/BD$5))</f>
        <v/>
      </c>
      <c r="BE8" s="185"/>
      <c r="BF8" s="190"/>
      <c r="BG8" s="55"/>
      <c r="BH8" s="55"/>
      <c r="BI8" s="55"/>
      <c r="BJ8" s="61"/>
      <c r="BK8" s="55"/>
      <c r="BL8" s="55"/>
      <c r="BM8" s="55"/>
      <c r="BN8" s="55"/>
      <c r="BO8" s="55"/>
      <c r="BP8" s="55"/>
      <c r="BQ8" s="55"/>
      <c r="BR8" s="55"/>
      <c r="BS8" s="51"/>
    </row>
    <row r="9" spans="1:71" ht="15" hidden="1" x14ac:dyDescent="0.25">
      <c r="A9" s="186" t="s">
        <v>532</v>
      </c>
      <c r="B9" s="186" t="s">
        <v>255</v>
      </c>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97"/>
      <c r="BD9" s="197"/>
      <c r="BE9" s="187"/>
      <c r="BF9" s="187"/>
      <c r="BH9" s="49" t="s">
        <v>407</v>
      </c>
    </row>
    <row r="10" spans="1:71" ht="15" hidden="1" x14ac:dyDescent="0.25">
      <c r="A10" s="177" t="s">
        <v>264</v>
      </c>
      <c r="B10" s="178" t="str">
        <f>B1</f>
        <v>Wheat</v>
      </c>
      <c r="C10" s="178" t="str">
        <f t="shared" ref="C10:BC10" si="2">C1</f>
        <v>Triticale</v>
      </c>
      <c r="D10" s="178" t="str">
        <f t="shared" si="2"/>
        <v>Sorghum</v>
      </c>
      <c r="E10" s="178" t="str">
        <f t="shared" si="2"/>
        <v>Maize</v>
      </c>
      <c r="F10" s="178" t="str">
        <f t="shared" si="2"/>
        <v>Barley</v>
      </c>
      <c r="G10" s="178" t="str">
        <f t="shared" si="2"/>
        <v>Oats</v>
      </c>
      <c r="H10" s="178" t="str">
        <f t="shared" si="2"/>
        <v>Lupins</v>
      </c>
      <c r="I10" s="178" t="str">
        <f t="shared" si="2"/>
        <v>Peas</v>
      </c>
      <c r="J10" s="178" t="str">
        <f t="shared" si="2"/>
        <v>Faba Beans</v>
      </c>
      <c r="K10" s="178" t="str">
        <f t="shared" si="2"/>
        <v>Brewers grains (dry)</v>
      </c>
      <c r="L10" s="178" t="str">
        <f>L1</f>
        <v>Cottonseed(w)</v>
      </c>
      <c r="M10" s="178" t="str">
        <f t="shared" si="2"/>
        <v>Canola</v>
      </c>
      <c r="N10" s="178" t="str">
        <f t="shared" si="2"/>
        <v>Copra</v>
      </c>
      <c r="O10" s="178" t="str">
        <f t="shared" si="2"/>
        <v>Corn Gluten</v>
      </c>
      <c r="P10" s="178" t="str">
        <f t="shared" si="2"/>
        <v>Cottonseed</v>
      </c>
      <c r="Q10" s="178" t="str">
        <f t="shared" si="2"/>
        <v>Safflower</v>
      </c>
      <c r="R10" s="178" t="str">
        <f t="shared" si="2"/>
        <v>Soyabean</v>
      </c>
      <c r="S10" s="178" t="str">
        <f t="shared" si="2"/>
        <v>Sunflower</v>
      </c>
      <c r="T10" s="178">
        <f t="shared" si="2"/>
        <v>0</v>
      </c>
      <c r="U10" s="178">
        <f t="shared" si="2"/>
        <v>0</v>
      </c>
      <c r="V10" s="178">
        <f t="shared" si="2"/>
        <v>0</v>
      </c>
      <c r="W10" s="178">
        <f>W1</f>
        <v>0</v>
      </c>
      <c r="X10" s="178" t="str">
        <f t="shared" si="2"/>
        <v>Pasture Hay</v>
      </c>
      <c r="Y10" s="178" t="str">
        <f t="shared" si="2"/>
        <v>Cereal hay 1</v>
      </c>
      <c r="Z10" s="178" t="str">
        <f t="shared" si="2"/>
        <v>Cereal hay 2</v>
      </c>
      <c r="AA10" s="178" t="str">
        <f t="shared" si="2"/>
        <v>Lucerne Hay</v>
      </c>
      <c r="AB10" s="178" t="str">
        <f t="shared" si="2"/>
        <v>Pasture Hay</v>
      </c>
      <c r="AC10" s="178">
        <f t="shared" si="2"/>
        <v>0</v>
      </c>
      <c r="AD10" s="178" t="str">
        <f t="shared" si="2"/>
        <v>Cereal Silage</v>
      </c>
      <c r="AE10" s="178" t="str">
        <f t="shared" si="2"/>
        <v>Pasture Silage</v>
      </c>
      <c r="AF10" s="178" t="str">
        <f t="shared" si="2"/>
        <v>Lucerne Silage</v>
      </c>
      <c r="AG10" s="178" t="str">
        <f t="shared" si="2"/>
        <v>Maize Silage</v>
      </c>
      <c r="AH10" s="178" t="str">
        <f>AH1</f>
        <v>Sorghum Silage</v>
      </c>
      <c r="AI10" s="178" t="str">
        <f t="shared" si="2"/>
        <v>Bentonite</v>
      </c>
      <c r="AJ10" s="178" t="str">
        <f t="shared" si="2"/>
        <v>Bicarb</v>
      </c>
      <c r="AK10" s="178" t="str">
        <f t="shared" si="2"/>
        <v>Lime</v>
      </c>
      <c r="AL10" s="178" t="str">
        <f t="shared" si="2"/>
        <v>Salt</v>
      </c>
      <c r="AM10" s="178" t="str">
        <f t="shared" si="2"/>
        <v>Urea</v>
      </c>
      <c r="AN10" s="178" t="str">
        <f t="shared" si="2"/>
        <v>Premix</v>
      </c>
      <c r="AO10" s="178" t="str">
        <f t="shared" si="2"/>
        <v>Molasses</v>
      </c>
      <c r="AP10" s="178" t="str">
        <f t="shared" si="2"/>
        <v>Acid Buff</v>
      </c>
      <c r="AQ10" s="178" t="str">
        <f t="shared" si="2"/>
        <v>Causmag</v>
      </c>
      <c r="AR10" s="178">
        <f t="shared" si="2"/>
        <v>0</v>
      </c>
      <c r="AS10" s="178">
        <f>AS1</f>
        <v>0</v>
      </c>
      <c r="AT10" s="178" t="str">
        <f t="shared" si="2"/>
        <v>Pellet/Mix</v>
      </c>
      <c r="AU10" s="178" t="str">
        <f t="shared" si="2"/>
        <v>Carrots</v>
      </c>
      <c r="AV10" s="178" t="str">
        <f t="shared" si="2"/>
        <v>Pellets</v>
      </c>
      <c r="AW10" s="178">
        <f t="shared" si="2"/>
        <v>0</v>
      </c>
      <c r="AX10" s="178">
        <f t="shared" si="2"/>
        <v>0</v>
      </c>
      <c r="AY10" s="178">
        <f t="shared" si="2"/>
        <v>0</v>
      </c>
      <c r="AZ10" s="178">
        <f t="shared" si="2"/>
        <v>0</v>
      </c>
      <c r="BA10" s="178">
        <f t="shared" si="2"/>
        <v>0</v>
      </c>
      <c r="BB10" s="178">
        <f t="shared" si="2"/>
        <v>0</v>
      </c>
      <c r="BC10" s="198">
        <f t="shared" si="2"/>
        <v>0</v>
      </c>
      <c r="BD10" s="198">
        <f>BD1</f>
        <v>0</v>
      </c>
      <c r="BE10" s="180"/>
      <c r="BF10" s="207"/>
      <c r="BG10" s="203"/>
      <c r="BH10" s="191" t="s">
        <v>255</v>
      </c>
      <c r="BI10" s="191" t="s">
        <v>408</v>
      </c>
      <c r="BJ10" s="191" t="s">
        <v>409</v>
      </c>
      <c r="BK10" s="191" t="s">
        <v>255</v>
      </c>
      <c r="BL10" s="191" t="s">
        <v>408</v>
      </c>
      <c r="BM10" s="191" t="s">
        <v>409</v>
      </c>
      <c r="BN10" s="191" t="s">
        <v>410</v>
      </c>
    </row>
    <row r="11" spans="1:71" ht="15" hidden="1" x14ac:dyDescent="0.25">
      <c r="A11" s="182" t="s">
        <v>188</v>
      </c>
      <c r="B11" s="188" t="e">
        <f>VLOOKUP(B$1,Rations!$B$5:$H$27,2,FALSE)</f>
        <v>#N/A</v>
      </c>
      <c r="C11" s="188" t="e">
        <f>VLOOKUP(C$1,Rations!$B$5:$H$27,2,FALSE)</f>
        <v>#N/A</v>
      </c>
      <c r="D11" s="188" t="e">
        <f>VLOOKUP(D$1,Rations!$B$5:$H$27,2,FALSE)</f>
        <v>#N/A</v>
      </c>
      <c r="E11" s="188" t="e">
        <f>VLOOKUP(E$1,Rations!$B$5:$H$27,2,FALSE)</f>
        <v>#N/A</v>
      </c>
      <c r="F11" s="188" t="e">
        <f>VLOOKUP(F$1,Rations!$B$5:$H$27,2,FALSE)</f>
        <v>#N/A</v>
      </c>
      <c r="G11" s="188" t="e">
        <f>VLOOKUP(G$1,Rations!$B$5:$H$27,2,FALSE)</f>
        <v>#N/A</v>
      </c>
      <c r="H11" s="188" t="e">
        <f>VLOOKUP(H$1,Rations!$B$5:$H$27,2,FALSE)</f>
        <v>#N/A</v>
      </c>
      <c r="I11" s="188" t="e">
        <f>VLOOKUP(I$1,Rations!$B$5:$H$27,2,FALSE)</f>
        <v>#N/A</v>
      </c>
      <c r="J11" s="188" t="e">
        <f>VLOOKUP(J$1,Rations!$B$5:$H$27,2,FALSE)</f>
        <v>#N/A</v>
      </c>
      <c r="K11" s="188" t="e">
        <f>VLOOKUP(K$1,Rations!$B$5:$H$27,2,FALSE)</f>
        <v>#N/A</v>
      </c>
      <c r="L11" s="188" t="e">
        <f>VLOOKUP(L$1,Rations!$B$5:$H$27,2,FALSE)</f>
        <v>#N/A</v>
      </c>
      <c r="M11" s="188" t="e">
        <f>VLOOKUP(M$1,Rations!$B$5:$H$27,2,FALSE)</f>
        <v>#N/A</v>
      </c>
      <c r="N11" s="188" t="e">
        <f>VLOOKUP(N$1,Rations!$B$5:$H$27,2,FALSE)</f>
        <v>#N/A</v>
      </c>
      <c r="O11" s="188" t="e">
        <f>VLOOKUP(O$1,Rations!$B$5:$H$27,2,FALSE)</f>
        <v>#N/A</v>
      </c>
      <c r="P11" s="188" t="e">
        <f>VLOOKUP(P$1,Rations!$B$5:$H$27,2,FALSE)</f>
        <v>#N/A</v>
      </c>
      <c r="Q11" s="188" t="e">
        <f>VLOOKUP(Q$1,Rations!$B$5:$H$27,2,FALSE)</f>
        <v>#N/A</v>
      </c>
      <c r="R11" s="188" t="e">
        <f>VLOOKUP(R$1,Rations!$B$5:$H$27,2,FALSE)</f>
        <v>#N/A</v>
      </c>
      <c r="S11" s="188" t="e">
        <f>VLOOKUP(S$1,Rations!$B$5:$H$27,2,FALSE)</f>
        <v>#N/A</v>
      </c>
      <c r="T11" s="188" t="e">
        <f>VLOOKUP(T$1,Rations!$B$5:$H$27,2,FALSE)</f>
        <v>#N/A</v>
      </c>
      <c r="U11" s="188" t="e">
        <f>VLOOKUP(U$1,Rations!$B$5:$H$27,2,FALSE)</f>
        <v>#N/A</v>
      </c>
      <c r="V11" s="188" t="e">
        <f>VLOOKUP(V$1,Rations!$B$5:$H$27,2,FALSE)</f>
        <v>#N/A</v>
      </c>
      <c r="W11" s="188" t="e">
        <f>VLOOKUP(W$1,Rations!$B$5:$H$27,2,FALSE)</f>
        <v>#N/A</v>
      </c>
      <c r="X11" s="188" t="e">
        <f>VLOOKUP(X$1,Rations!$B$5:$H$27,2,FALSE)</f>
        <v>#N/A</v>
      </c>
      <c r="Y11" s="188" t="e">
        <f>VLOOKUP(Y$1,Rations!$B$5:$H$27,2,FALSE)</f>
        <v>#N/A</v>
      </c>
      <c r="Z11" s="188" t="e">
        <f>VLOOKUP(Z$1,Rations!$B$5:$H$27,2,FALSE)</f>
        <v>#N/A</v>
      </c>
      <c r="AA11" s="188" t="e">
        <f>VLOOKUP(AA$1,Rations!$B$5:$H$27,2,FALSE)</f>
        <v>#N/A</v>
      </c>
      <c r="AB11" s="188" t="e">
        <f>VLOOKUP(AB$1,Rations!$B$5:$H$27,2,FALSE)</f>
        <v>#N/A</v>
      </c>
      <c r="AC11" s="188" t="e">
        <f>VLOOKUP(AC$1,Rations!$B$5:$H$27,2,FALSE)</f>
        <v>#N/A</v>
      </c>
      <c r="AD11" s="188" t="e">
        <f>VLOOKUP(AD$1,Rations!$B$5:$H$27,2,FALSE)</f>
        <v>#N/A</v>
      </c>
      <c r="AE11" s="188" t="e">
        <f>VLOOKUP(AE$1,Rations!$B$5:$H$27,2,FALSE)</f>
        <v>#N/A</v>
      </c>
      <c r="AF11" s="188" t="e">
        <f>VLOOKUP(AF$1,Rations!$B$5:$H$27,2,FALSE)</f>
        <v>#N/A</v>
      </c>
      <c r="AG11" s="188" t="e">
        <f>VLOOKUP(AG$1,Rations!$B$5:$H$27,2,FALSE)</f>
        <v>#N/A</v>
      </c>
      <c r="AH11" s="188" t="e">
        <f>VLOOKUP(AH$1,Rations!$B$5:$H$27,2,FALSE)</f>
        <v>#N/A</v>
      </c>
      <c r="AI11" s="188" t="e">
        <f>VLOOKUP(AI$1,Rations!$B$5:$H$27,2,FALSE)</f>
        <v>#N/A</v>
      </c>
      <c r="AJ11" s="188" t="e">
        <f>VLOOKUP(AJ$1,Rations!$B$5:$H$27,2,FALSE)</f>
        <v>#N/A</v>
      </c>
      <c r="AK11" s="188" t="e">
        <f>VLOOKUP(AK$1,Rations!$B$5:$H$27,2,FALSE)</f>
        <v>#N/A</v>
      </c>
      <c r="AL11" s="188" t="e">
        <f>VLOOKUP(AL$1,Rations!$B$5:$H$27,2,FALSE)</f>
        <v>#N/A</v>
      </c>
      <c r="AM11" s="188" t="e">
        <f>VLOOKUP(AM$1,Rations!$B$5:$H$27,2,FALSE)</f>
        <v>#N/A</v>
      </c>
      <c r="AN11" s="188" t="e">
        <f>VLOOKUP(AN$1,Rations!$B$5:$H$27,2,FALSE)</f>
        <v>#N/A</v>
      </c>
      <c r="AO11" s="188" t="e">
        <f>VLOOKUP(AO$1,Rations!$B$5:$H$27,2,FALSE)</f>
        <v>#N/A</v>
      </c>
      <c r="AP11" s="188" t="e">
        <f>VLOOKUP(AP$1,Rations!$B$5:$H$27,2,FALSE)</f>
        <v>#N/A</v>
      </c>
      <c r="AQ11" s="188" t="e">
        <f>VLOOKUP(AQ$1,Rations!$B$5:$H$27,2,FALSE)</f>
        <v>#N/A</v>
      </c>
      <c r="AR11" s="188" t="e">
        <f>VLOOKUP(AR$1,Rations!$B$5:$H$27,2,FALSE)</f>
        <v>#N/A</v>
      </c>
      <c r="AS11" s="188" t="e">
        <f>VLOOKUP(AS$1,Rations!$B$5:$H$27,2,FALSE)</f>
        <v>#N/A</v>
      </c>
      <c r="AT11" s="188">
        <f>VLOOKUP(AT$1,Rations!$B$5:$H$27,2,FALSE)</f>
        <v>0</v>
      </c>
      <c r="AU11" s="188" t="e">
        <f>VLOOKUP(AU$1,Rations!$B$5:$H$27,2,FALSE)</f>
        <v>#N/A</v>
      </c>
      <c r="AV11" s="188" t="e">
        <f>VLOOKUP(AV$1,Rations!$B$5:$H$27,2,FALSE)</f>
        <v>#N/A</v>
      </c>
      <c r="AW11" s="188" t="e">
        <f>VLOOKUP(AW$1,Rations!$B$5:$H$27,2,FALSE)</f>
        <v>#N/A</v>
      </c>
      <c r="AX11" s="188" t="e">
        <f>VLOOKUP(AX$1,Rations!$B$5:$H$27,2,FALSE)</f>
        <v>#N/A</v>
      </c>
      <c r="AY11" s="188" t="e">
        <f>VLOOKUP(AY$1,Rations!$B$5:$H$27,2,FALSE)</f>
        <v>#N/A</v>
      </c>
      <c r="AZ11" s="188" t="e">
        <f>VLOOKUP(AZ$1,Rations!$B$5:$H$27,2,FALSE)</f>
        <v>#N/A</v>
      </c>
      <c r="BA11" s="188" t="e">
        <f>VLOOKUP(BA$1,Rations!$B$5:$H$27,2,FALSE)</f>
        <v>#N/A</v>
      </c>
      <c r="BB11" s="188" t="e">
        <f>VLOOKUP(BB$1,Rations!$B$5:$H$27,2,FALSE)</f>
        <v>#N/A</v>
      </c>
      <c r="BC11" s="199" t="e">
        <f>VLOOKUP(BC$1,Rations!$B$5:$H$27,2,FALSE)</f>
        <v>#N/A</v>
      </c>
      <c r="BD11" s="199" t="e">
        <f>VLOOKUP(BD$1,Rations!$B$5:$H$27,2,FALSE)</f>
        <v>#N/A</v>
      </c>
      <c r="BE11" s="183"/>
      <c r="BF11" s="207"/>
      <c r="BG11" s="203" t="s">
        <v>414</v>
      </c>
      <c r="BH11" s="194">
        <f>BE12</f>
        <v>0</v>
      </c>
      <c r="BI11" s="194">
        <f>BE21</f>
        <v>0</v>
      </c>
      <c r="BJ11" s="194">
        <f>BE30</f>
        <v>280</v>
      </c>
      <c r="BK11" s="194">
        <f t="shared" ref="BK11:BK17" si="3">IF($BH$30=0,0,BH11*$BH$29/$BK$29)</f>
        <v>0</v>
      </c>
      <c r="BL11" s="194">
        <f t="shared" ref="BL11:BL17" si="4">IF($BH$30=0,0,IF($BI$30=0,0,BI11*$BI$29/$BK$29))</f>
        <v>0</v>
      </c>
      <c r="BM11" s="194">
        <f t="shared" ref="BM11:BM17" si="5">BJ11*$BJ$29/$BK$29</f>
        <v>280</v>
      </c>
      <c r="BN11" s="194">
        <f t="shared" ref="BN11:BN17" si="6">SUM(BK11:BM11)</f>
        <v>280</v>
      </c>
      <c r="BO11" s="191"/>
    </row>
    <row r="12" spans="1:71" ht="15" hidden="1" x14ac:dyDescent="0.25">
      <c r="A12" s="189" t="s">
        <v>154</v>
      </c>
      <c r="B12" s="185" t="str">
        <f t="shared" ref="B12:AJ12" si="7">IF(ISNA(B$11),"",(B11*B$2*0.01))</f>
        <v/>
      </c>
      <c r="C12" s="185" t="str">
        <f t="shared" si="7"/>
        <v/>
      </c>
      <c r="D12" s="185" t="str">
        <f t="shared" si="7"/>
        <v/>
      </c>
      <c r="E12" s="185" t="str">
        <f t="shared" si="7"/>
        <v/>
      </c>
      <c r="F12" s="185" t="str">
        <f t="shared" si="7"/>
        <v/>
      </c>
      <c r="G12" s="185" t="str">
        <f t="shared" si="7"/>
        <v/>
      </c>
      <c r="H12" s="185" t="str">
        <f t="shared" si="7"/>
        <v/>
      </c>
      <c r="I12" s="185" t="str">
        <f t="shared" si="7"/>
        <v/>
      </c>
      <c r="J12" s="185" t="str">
        <f t="shared" si="7"/>
        <v/>
      </c>
      <c r="K12" s="185" t="str">
        <f t="shared" si="7"/>
        <v/>
      </c>
      <c r="L12" s="185" t="str">
        <f t="shared" si="7"/>
        <v/>
      </c>
      <c r="M12" s="185" t="str">
        <f t="shared" si="7"/>
        <v/>
      </c>
      <c r="N12" s="185" t="str">
        <f t="shared" si="7"/>
        <v/>
      </c>
      <c r="O12" s="185" t="str">
        <f t="shared" si="7"/>
        <v/>
      </c>
      <c r="P12" s="185" t="str">
        <f t="shared" si="7"/>
        <v/>
      </c>
      <c r="Q12" s="185" t="str">
        <f t="shared" si="7"/>
        <v/>
      </c>
      <c r="R12" s="185" t="str">
        <f t="shared" si="7"/>
        <v/>
      </c>
      <c r="S12" s="185" t="str">
        <f t="shared" si="7"/>
        <v/>
      </c>
      <c r="T12" s="185" t="str">
        <f t="shared" si="7"/>
        <v/>
      </c>
      <c r="U12" s="185" t="str">
        <f t="shared" si="7"/>
        <v/>
      </c>
      <c r="V12" s="185" t="str">
        <f t="shared" si="7"/>
        <v/>
      </c>
      <c r="W12" s="185" t="str">
        <f t="shared" si="7"/>
        <v/>
      </c>
      <c r="X12" s="185" t="str">
        <f t="shared" si="7"/>
        <v/>
      </c>
      <c r="Y12" s="185" t="str">
        <f t="shared" si="7"/>
        <v/>
      </c>
      <c r="Z12" s="185" t="str">
        <f t="shared" si="7"/>
        <v/>
      </c>
      <c r="AA12" s="185" t="str">
        <f t="shared" si="7"/>
        <v/>
      </c>
      <c r="AB12" s="185" t="str">
        <f t="shared" si="7"/>
        <v/>
      </c>
      <c r="AC12" s="185" t="str">
        <f t="shared" si="7"/>
        <v/>
      </c>
      <c r="AD12" s="185" t="str">
        <f t="shared" si="7"/>
        <v/>
      </c>
      <c r="AE12" s="185" t="str">
        <f t="shared" si="7"/>
        <v/>
      </c>
      <c r="AF12" s="185" t="str">
        <f t="shared" si="7"/>
        <v/>
      </c>
      <c r="AG12" s="185" t="str">
        <f t="shared" si="7"/>
        <v/>
      </c>
      <c r="AH12" s="185" t="str">
        <f t="shared" si="7"/>
        <v/>
      </c>
      <c r="AI12" s="185" t="str">
        <f t="shared" si="7"/>
        <v/>
      </c>
      <c r="AJ12" s="185" t="str">
        <f t="shared" si="7"/>
        <v/>
      </c>
      <c r="AK12" s="185" t="str">
        <f t="shared" ref="AK12:BD12" si="8">IF(ISNA(AK$11),"",(AK11*AK$2*0.01))</f>
        <v/>
      </c>
      <c r="AL12" s="185" t="str">
        <f t="shared" si="8"/>
        <v/>
      </c>
      <c r="AM12" s="185" t="str">
        <f t="shared" si="8"/>
        <v/>
      </c>
      <c r="AN12" s="185" t="str">
        <f t="shared" si="8"/>
        <v/>
      </c>
      <c r="AO12" s="185" t="str">
        <f t="shared" si="8"/>
        <v/>
      </c>
      <c r="AP12" s="185" t="str">
        <f t="shared" si="8"/>
        <v/>
      </c>
      <c r="AQ12" s="185" t="str">
        <f t="shared" si="8"/>
        <v/>
      </c>
      <c r="AR12" s="185" t="str">
        <f t="shared" si="8"/>
        <v/>
      </c>
      <c r="AS12" s="185" t="str">
        <f t="shared" si="8"/>
        <v/>
      </c>
      <c r="AT12" s="185">
        <f t="shared" si="8"/>
        <v>0</v>
      </c>
      <c r="AU12" s="185" t="str">
        <f t="shared" si="8"/>
        <v/>
      </c>
      <c r="AV12" s="185" t="str">
        <f t="shared" si="8"/>
        <v/>
      </c>
      <c r="AW12" s="185" t="str">
        <f t="shared" si="8"/>
        <v/>
      </c>
      <c r="AX12" s="185" t="str">
        <f t="shared" si="8"/>
        <v/>
      </c>
      <c r="AY12" s="185" t="str">
        <f t="shared" si="8"/>
        <v/>
      </c>
      <c r="AZ12" s="185" t="str">
        <f t="shared" si="8"/>
        <v/>
      </c>
      <c r="BA12" s="185" t="str">
        <f t="shared" si="8"/>
        <v/>
      </c>
      <c r="BB12" s="185" t="str">
        <f t="shared" si="8"/>
        <v/>
      </c>
      <c r="BC12" s="196" t="str">
        <f t="shared" si="8"/>
        <v/>
      </c>
      <c r="BD12" s="196" t="str">
        <f t="shared" si="8"/>
        <v/>
      </c>
      <c r="BE12" s="183">
        <f t="shared" ref="BE12:BE17" si="9">SUM(B12:BD12)</f>
        <v>0</v>
      </c>
      <c r="BF12" s="207" t="e">
        <f t="shared" ref="BF12:BF17" si="10">BE12*100/$BE$13</f>
        <v>#DIV/0!</v>
      </c>
      <c r="BG12" s="204" t="s">
        <v>413</v>
      </c>
      <c r="BH12" s="192" t="e">
        <f>BF12</f>
        <v>#DIV/0!</v>
      </c>
      <c r="BI12" s="192" t="e">
        <f>BF21</f>
        <v>#DIV/0!</v>
      </c>
      <c r="BJ12" s="192">
        <f>BF30</f>
        <v>311.11111111111109</v>
      </c>
      <c r="BK12" s="194">
        <f t="shared" si="3"/>
        <v>0</v>
      </c>
      <c r="BL12" s="194">
        <f t="shared" si="4"/>
        <v>0</v>
      </c>
      <c r="BM12" s="194">
        <f t="shared" si="5"/>
        <v>311.11111111111109</v>
      </c>
      <c r="BN12" s="192">
        <f t="shared" si="6"/>
        <v>311.11111111111109</v>
      </c>
      <c r="BO12" s="159"/>
      <c r="BP12" s="51"/>
    </row>
    <row r="13" spans="1:71" ht="15" hidden="1" x14ac:dyDescent="0.25">
      <c r="A13" s="184" t="s">
        <v>189</v>
      </c>
      <c r="B13" s="183" t="str">
        <f>IF(ISNA(B$11),"",(B11*B$5*0.01))</f>
        <v/>
      </c>
      <c r="C13" s="183" t="str">
        <f t="shared" ref="C13:BC13" si="11">IF(ISNA(C$11),"",(C11*C$5*0.01))</f>
        <v/>
      </c>
      <c r="D13" s="183" t="str">
        <f t="shared" si="11"/>
        <v/>
      </c>
      <c r="E13" s="183" t="str">
        <f t="shared" si="11"/>
        <v/>
      </c>
      <c r="F13" s="183" t="str">
        <f t="shared" si="11"/>
        <v/>
      </c>
      <c r="G13" s="183" t="str">
        <f t="shared" si="11"/>
        <v/>
      </c>
      <c r="H13" s="183" t="str">
        <f t="shared" si="11"/>
        <v/>
      </c>
      <c r="I13" s="183" t="str">
        <f t="shared" si="11"/>
        <v/>
      </c>
      <c r="J13" s="183" t="str">
        <f t="shared" si="11"/>
        <v/>
      </c>
      <c r="K13" s="183" t="str">
        <f t="shared" si="11"/>
        <v/>
      </c>
      <c r="L13" s="183" t="str">
        <f>IF(ISNA(L$11),"",(L11*L$5*0.01))</f>
        <v/>
      </c>
      <c r="M13" s="183" t="str">
        <f t="shared" si="11"/>
        <v/>
      </c>
      <c r="N13" s="183" t="str">
        <f t="shared" si="11"/>
        <v/>
      </c>
      <c r="O13" s="183" t="str">
        <f t="shared" si="11"/>
        <v/>
      </c>
      <c r="P13" s="183" t="str">
        <f t="shared" si="11"/>
        <v/>
      </c>
      <c r="Q13" s="183" t="str">
        <f t="shared" si="11"/>
        <v/>
      </c>
      <c r="R13" s="183" t="str">
        <f t="shared" si="11"/>
        <v/>
      </c>
      <c r="S13" s="183" t="str">
        <f t="shared" si="11"/>
        <v/>
      </c>
      <c r="T13" s="183" t="str">
        <f t="shared" si="11"/>
        <v/>
      </c>
      <c r="U13" s="183" t="str">
        <f t="shared" si="11"/>
        <v/>
      </c>
      <c r="V13" s="183" t="str">
        <f t="shared" si="11"/>
        <v/>
      </c>
      <c r="W13" s="183" t="str">
        <f>IF(ISNA(W$11),"",(W11*W$5*0.01))</f>
        <v/>
      </c>
      <c r="X13" s="183" t="str">
        <f t="shared" si="11"/>
        <v/>
      </c>
      <c r="Y13" s="183" t="str">
        <f t="shared" si="11"/>
        <v/>
      </c>
      <c r="Z13" s="183" t="str">
        <f t="shared" si="11"/>
        <v/>
      </c>
      <c r="AA13" s="183" t="str">
        <f t="shared" si="11"/>
        <v/>
      </c>
      <c r="AB13" s="183" t="str">
        <f t="shared" si="11"/>
        <v/>
      </c>
      <c r="AC13" s="183" t="str">
        <f t="shared" si="11"/>
        <v/>
      </c>
      <c r="AD13" s="183" t="str">
        <f t="shared" si="11"/>
        <v/>
      </c>
      <c r="AE13" s="183" t="str">
        <f t="shared" si="11"/>
        <v/>
      </c>
      <c r="AF13" s="183" t="str">
        <f t="shared" si="11"/>
        <v/>
      </c>
      <c r="AG13" s="183" t="str">
        <f t="shared" si="11"/>
        <v/>
      </c>
      <c r="AH13" s="183" t="str">
        <f>IF(ISNA(AH$11),"",(AH11*AH$5*0.01))</f>
        <v/>
      </c>
      <c r="AI13" s="183" t="str">
        <f t="shared" si="11"/>
        <v/>
      </c>
      <c r="AJ13" s="183" t="str">
        <f t="shared" si="11"/>
        <v/>
      </c>
      <c r="AK13" s="183" t="str">
        <f t="shared" si="11"/>
        <v/>
      </c>
      <c r="AL13" s="183" t="str">
        <f t="shared" si="11"/>
        <v/>
      </c>
      <c r="AM13" s="183" t="str">
        <f t="shared" si="11"/>
        <v/>
      </c>
      <c r="AN13" s="183" t="str">
        <f t="shared" si="11"/>
        <v/>
      </c>
      <c r="AO13" s="183" t="str">
        <f t="shared" si="11"/>
        <v/>
      </c>
      <c r="AP13" s="183" t="str">
        <f t="shared" si="11"/>
        <v/>
      </c>
      <c r="AQ13" s="183" t="str">
        <f t="shared" si="11"/>
        <v/>
      </c>
      <c r="AR13" s="183" t="str">
        <f t="shared" si="11"/>
        <v/>
      </c>
      <c r="AS13" s="183" t="str">
        <f>IF(ISNA(AS$11),"",(AS11*AS$5*0.01))</f>
        <v/>
      </c>
      <c r="AT13" s="183">
        <f t="shared" si="11"/>
        <v>0</v>
      </c>
      <c r="AU13" s="183" t="str">
        <f t="shared" si="11"/>
        <v/>
      </c>
      <c r="AV13" s="183" t="str">
        <f t="shared" si="11"/>
        <v/>
      </c>
      <c r="AW13" s="183" t="str">
        <f t="shared" si="11"/>
        <v/>
      </c>
      <c r="AX13" s="183" t="str">
        <f t="shared" si="11"/>
        <v/>
      </c>
      <c r="AY13" s="183" t="str">
        <f t="shared" si="11"/>
        <v/>
      </c>
      <c r="AZ13" s="183" t="str">
        <f t="shared" si="11"/>
        <v/>
      </c>
      <c r="BA13" s="183" t="str">
        <f t="shared" si="11"/>
        <v/>
      </c>
      <c r="BB13" s="183" t="str">
        <f t="shared" si="11"/>
        <v/>
      </c>
      <c r="BC13" s="200" t="str">
        <f t="shared" si="11"/>
        <v/>
      </c>
      <c r="BD13" s="200" t="str">
        <f>IF(ISNA(BD$11),"",(BD11*BD$5*0.01))</f>
        <v/>
      </c>
      <c r="BE13" s="183">
        <f t="shared" si="9"/>
        <v>0</v>
      </c>
      <c r="BF13" s="207" t="e">
        <f t="shared" si="10"/>
        <v>#DIV/0!</v>
      </c>
      <c r="BG13" s="205" t="s">
        <v>189</v>
      </c>
      <c r="BH13" s="189">
        <f>BE13</f>
        <v>0</v>
      </c>
      <c r="BI13" s="189">
        <f>BE22</f>
        <v>0</v>
      </c>
      <c r="BJ13" s="189">
        <f>BE31</f>
        <v>90</v>
      </c>
      <c r="BK13" s="194">
        <f t="shared" si="3"/>
        <v>0</v>
      </c>
      <c r="BL13" s="194">
        <f t="shared" si="4"/>
        <v>0</v>
      </c>
      <c r="BM13" s="194">
        <f t="shared" si="5"/>
        <v>90</v>
      </c>
      <c r="BN13" s="189">
        <f t="shared" si="6"/>
        <v>90</v>
      </c>
      <c r="BO13" s="159"/>
      <c r="BP13" s="51"/>
    </row>
    <row r="14" spans="1:71" ht="15" hidden="1" x14ac:dyDescent="0.25">
      <c r="A14" s="184" t="s">
        <v>190</v>
      </c>
      <c r="B14" s="183" t="str">
        <f>IF(ISNA(B$11),"",(B$3*B13*0.01))</f>
        <v/>
      </c>
      <c r="C14" s="183" t="str">
        <f t="shared" ref="C14:BD14" si="12">IF(ISNA(C$11),"",(C$3*C13*0.01))</f>
        <v/>
      </c>
      <c r="D14" s="183" t="str">
        <f t="shared" si="12"/>
        <v/>
      </c>
      <c r="E14" s="183" t="str">
        <f t="shared" si="12"/>
        <v/>
      </c>
      <c r="F14" s="183" t="str">
        <f t="shared" si="12"/>
        <v/>
      </c>
      <c r="G14" s="183" t="str">
        <f t="shared" si="12"/>
        <v/>
      </c>
      <c r="H14" s="183" t="str">
        <f t="shared" si="12"/>
        <v/>
      </c>
      <c r="I14" s="183" t="str">
        <f t="shared" si="12"/>
        <v/>
      </c>
      <c r="J14" s="183" t="str">
        <f t="shared" si="12"/>
        <v/>
      </c>
      <c r="K14" s="183" t="str">
        <f t="shared" si="12"/>
        <v/>
      </c>
      <c r="L14" s="183" t="str">
        <f t="shared" si="12"/>
        <v/>
      </c>
      <c r="M14" s="183" t="str">
        <f t="shared" si="12"/>
        <v/>
      </c>
      <c r="N14" s="183" t="str">
        <f t="shared" si="12"/>
        <v/>
      </c>
      <c r="O14" s="183" t="str">
        <f t="shared" si="12"/>
        <v/>
      </c>
      <c r="P14" s="183" t="str">
        <f t="shared" si="12"/>
        <v/>
      </c>
      <c r="Q14" s="183" t="str">
        <f t="shared" si="12"/>
        <v/>
      </c>
      <c r="R14" s="183" t="str">
        <f t="shared" si="12"/>
        <v/>
      </c>
      <c r="S14" s="183" t="str">
        <f t="shared" si="12"/>
        <v/>
      </c>
      <c r="T14" s="183" t="str">
        <f t="shared" si="12"/>
        <v/>
      </c>
      <c r="U14" s="183" t="str">
        <f t="shared" si="12"/>
        <v/>
      </c>
      <c r="V14" s="183" t="str">
        <f t="shared" si="12"/>
        <v/>
      </c>
      <c r="W14" s="183" t="str">
        <f t="shared" si="12"/>
        <v/>
      </c>
      <c r="X14" s="183" t="str">
        <f t="shared" si="12"/>
        <v/>
      </c>
      <c r="Y14" s="183" t="str">
        <f t="shared" si="12"/>
        <v/>
      </c>
      <c r="Z14" s="183" t="str">
        <f t="shared" si="12"/>
        <v/>
      </c>
      <c r="AA14" s="183" t="str">
        <f t="shared" si="12"/>
        <v/>
      </c>
      <c r="AB14" s="183" t="str">
        <f t="shared" si="12"/>
        <v/>
      </c>
      <c r="AC14" s="183" t="str">
        <f t="shared" si="12"/>
        <v/>
      </c>
      <c r="AD14" s="183" t="str">
        <f t="shared" si="12"/>
        <v/>
      </c>
      <c r="AE14" s="183" t="str">
        <f t="shared" si="12"/>
        <v/>
      </c>
      <c r="AF14" s="183" t="str">
        <f t="shared" si="12"/>
        <v/>
      </c>
      <c r="AG14" s="183" t="str">
        <f t="shared" si="12"/>
        <v/>
      </c>
      <c r="AH14" s="183" t="str">
        <f t="shared" si="12"/>
        <v/>
      </c>
      <c r="AI14" s="183" t="str">
        <f t="shared" si="12"/>
        <v/>
      </c>
      <c r="AJ14" s="183" t="str">
        <f t="shared" si="12"/>
        <v/>
      </c>
      <c r="AK14" s="183" t="str">
        <f t="shared" si="12"/>
        <v/>
      </c>
      <c r="AL14" s="183" t="str">
        <f t="shared" si="12"/>
        <v/>
      </c>
      <c r="AM14" s="183" t="str">
        <f t="shared" si="12"/>
        <v/>
      </c>
      <c r="AN14" s="183" t="str">
        <f t="shared" si="12"/>
        <v/>
      </c>
      <c r="AO14" s="183" t="str">
        <f t="shared" si="12"/>
        <v/>
      </c>
      <c r="AP14" s="183" t="str">
        <f t="shared" si="12"/>
        <v/>
      </c>
      <c r="AQ14" s="183" t="str">
        <f t="shared" si="12"/>
        <v/>
      </c>
      <c r="AR14" s="183" t="str">
        <f t="shared" si="12"/>
        <v/>
      </c>
      <c r="AS14" s="183" t="str">
        <f t="shared" si="12"/>
        <v/>
      </c>
      <c r="AT14" s="183">
        <f t="shared" si="12"/>
        <v>0</v>
      </c>
      <c r="AU14" s="183" t="str">
        <f t="shared" si="12"/>
        <v/>
      </c>
      <c r="AV14" s="183" t="str">
        <f t="shared" si="12"/>
        <v/>
      </c>
      <c r="AW14" s="183" t="str">
        <f t="shared" si="12"/>
        <v/>
      </c>
      <c r="AX14" s="183" t="str">
        <f t="shared" si="12"/>
        <v/>
      </c>
      <c r="AY14" s="183" t="str">
        <f t="shared" si="12"/>
        <v/>
      </c>
      <c r="AZ14" s="183" t="str">
        <f t="shared" si="12"/>
        <v/>
      </c>
      <c r="BA14" s="183" t="str">
        <f t="shared" si="12"/>
        <v/>
      </c>
      <c r="BB14" s="183" t="str">
        <f t="shared" si="12"/>
        <v/>
      </c>
      <c r="BC14" s="200" t="str">
        <f t="shared" si="12"/>
        <v/>
      </c>
      <c r="BD14" s="200" t="str">
        <f t="shared" si="12"/>
        <v/>
      </c>
      <c r="BE14" s="183">
        <f t="shared" si="9"/>
        <v>0</v>
      </c>
      <c r="BF14" s="207" t="e">
        <f t="shared" si="10"/>
        <v>#DIV/0!</v>
      </c>
      <c r="BG14" s="205" t="s">
        <v>190</v>
      </c>
      <c r="BH14" s="410" t="e">
        <f>BF14</f>
        <v>#DIV/0!</v>
      </c>
      <c r="BI14" s="410" t="e">
        <f>BF23</f>
        <v>#DIV/0!</v>
      </c>
      <c r="BJ14" s="410">
        <f>BF32</f>
        <v>13</v>
      </c>
      <c r="BK14" s="194">
        <f t="shared" si="3"/>
        <v>0</v>
      </c>
      <c r="BL14" s="194">
        <f t="shared" si="4"/>
        <v>0</v>
      </c>
      <c r="BM14" s="194">
        <f t="shared" si="5"/>
        <v>13</v>
      </c>
      <c r="BN14" s="189">
        <f t="shared" si="6"/>
        <v>13</v>
      </c>
      <c r="BO14" s="159"/>
      <c r="BP14" s="51"/>
    </row>
    <row r="15" spans="1:71" ht="15" hidden="1" x14ac:dyDescent="0.25">
      <c r="A15" s="184" t="s">
        <v>191</v>
      </c>
      <c r="B15" s="183" t="str">
        <f>IF(ISNA(B$11),"",(B$4*B13*0.01))</f>
        <v/>
      </c>
      <c r="C15" s="183" t="str">
        <f t="shared" ref="C15:BC15" si="13">IF(ISNA(C$11),"",(C$4*C13*0.01))</f>
        <v/>
      </c>
      <c r="D15" s="183" t="str">
        <f t="shared" si="13"/>
        <v/>
      </c>
      <c r="E15" s="183" t="str">
        <f t="shared" si="13"/>
        <v/>
      </c>
      <c r="F15" s="183" t="str">
        <f t="shared" si="13"/>
        <v/>
      </c>
      <c r="G15" s="183" t="str">
        <f t="shared" si="13"/>
        <v/>
      </c>
      <c r="H15" s="183" t="str">
        <f t="shared" si="13"/>
        <v/>
      </c>
      <c r="I15" s="183" t="str">
        <f t="shared" si="13"/>
        <v/>
      </c>
      <c r="J15" s="183" t="str">
        <f t="shared" si="13"/>
        <v/>
      </c>
      <c r="K15" s="183" t="str">
        <f t="shared" si="13"/>
        <v/>
      </c>
      <c r="L15" s="183" t="str">
        <f>IF(ISNA(L$11),"",(L$4*L13*0.01))</f>
        <v/>
      </c>
      <c r="M15" s="183" t="str">
        <f t="shared" si="13"/>
        <v/>
      </c>
      <c r="N15" s="183" t="str">
        <f t="shared" si="13"/>
        <v/>
      </c>
      <c r="O15" s="183" t="str">
        <f t="shared" si="13"/>
        <v/>
      </c>
      <c r="P15" s="183" t="str">
        <f t="shared" si="13"/>
        <v/>
      </c>
      <c r="Q15" s="183" t="str">
        <f t="shared" si="13"/>
        <v/>
      </c>
      <c r="R15" s="183" t="str">
        <f t="shared" si="13"/>
        <v/>
      </c>
      <c r="S15" s="183" t="str">
        <f t="shared" si="13"/>
        <v/>
      </c>
      <c r="T15" s="183" t="str">
        <f t="shared" si="13"/>
        <v/>
      </c>
      <c r="U15" s="183" t="str">
        <f t="shared" si="13"/>
        <v/>
      </c>
      <c r="V15" s="183" t="str">
        <f t="shared" si="13"/>
        <v/>
      </c>
      <c r="W15" s="183" t="str">
        <f>IF(ISNA(W$11),"",(W$4*W13*0.01))</f>
        <v/>
      </c>
      <c r="X15" s="183" t="str">
        <f t="shared" si="13"/>
        <v/>
      </c>
      <c r="Y15" s="183" t="str">
        <f t="shared" si="13"/>
        <v/>
      </c>
      <c r="Z15" s="183" t="str">
        <f t="shared" si="13"/>
        <v/>
      </c>
      <c r="AA15" s="183" t="str">
        <f t="shared" si="13"/>
        <v/>
      </c>
      <c r="AB15" s="183" t="str">
        <f t="shared" si="13"/>
        <v/>
      </c>
      <c r="AC15" s="183" t="str">
        <f t="shared" si="13"/>
        <v/>
      </c>
      <c r="AD15" s="183" t="str">
        <f t="shared" si="13"/>
        <v/>
      </c>
      <c r="AE15" s="183" t="str">
        <f t="shared" si="13"/>
        <v/>
      </c>
      <c r="AF15" s="183" t="str">
        <f t="shared" si="13"/>
        <v/>
      </c>
      <c r="AG15" s="183" t="str">
        <f t="shared" si="13"/>
        <v/>
      </c>
      <c r="AH15" s="183" t="str">
        <f>IF(ISNA(AH$11),"",(AH$4*AH13*0.01))</f>
        <v/>
      </c>
      <c r="AI15" s="183" t="str">
        <f t="shared" si="13"/>
        <v/>
      </c>
      <c r="AJ15" s="183" t="str">
        <f t="shared" si="13"/>
        <v/>
      </c>
      <c r="AK15" s="183" t="str">
        <f t="shared" si="13"/>
        <v/>
      </c>
      <c r="AL15" s="183" t="str">
        <f t="shared" si="13"/>
        <v/>
      </c>
      <c r="AM15" s="183" t="str">
        <f t="shared" si="13"/>
        <v/>
      </c>
      <c r="AN15" s="183" t="str">
        <f t="shared" si="13"/>
        <v/>
      </c>
      <c r="AO15" s="183" t="str">
        <f t="shared" si="13"/>
        <v/>
      </c>
      <c r="AP15" s="183" t="str">
        <f t="shared" si="13"/>
        <v/>
      </c>
      <c r="AQ15" s="183" t="str">
        <f t="shared" si="13"/>
        <v/>
      </c>
      <c r="AR15" s="183" t="str">
        <f t="shared" si="13"/>
        <v/>
      </c>
      <c r="AS15" s="183" t="str">
        <f>IF(ISNA(AS$11),"",(AS$4*AS13*0.01))</f>
        <v/>
      </c>
      <c r="AT15" s="183">
        <f t="shared" si="13"/>
        <v>0</v>
      </c>
      <c r="AU15" s="183" t="str">
        <f t="shared" si="13"/>
        <v/>
      </c>
      <c r="AV15" s="183" t="str">
        <f t="shared" si="13"/>
        <v/>
      </c>
      <c r="AW15" s="183" t="str">
        <f t="shared" si="13"/>
        <v/>
      </c>
      <c r="AX15" s="183" t="str">
        <f t="shared" si="13"/>
        <v/>
      </c>
      <c r="AY15" s="183" t="str">
        <f t="shared" si="13"/>
        <v/>
      </c>
      <c r="AZ15" s="183" t="str">
        <f t="shared" si="13"/>
        <v/>
      </c>
      <c r="BA15" s="183" t="str">
        <f t="shared" si="13"/>
        <v/>
      </c>
      <c r="BB15" s="183" t="str">
        <f t="shared" si="13"/>
        <v/>
      </c>
      <c r="BC15" s="200" t="str">
        <f t="shared" si="13"/>
        <v/>
      </c>
      <c r="BD15" s="200" t="str">
        <f>IF(ISNA(BD$11),"",(BD$4*BD13*0.01))</f>
        <v/>
      </c>
      <c r="BE15" s="183">
        <f t="shared" si="9"/>
        <v>0</v>
      </c>
      <c r="BF15" s="207" t="e">
        <f t="shared" si="10"/>
        <v>#DIV/0!</v>
      </c>
      <c r="BG15" s="205" t="s">
        <v>191</v>
      </c>
      <c r="BH15" s="410" t="e">
        <f>BF15</f>
        <v>#DIV/0!</v>
      </c>
      <c r="BI15" s="410" t="e">
        <f>BF24</f>
        <v>#DIV/0!</v>
      </c>
      <c r="BJ15" s="410">
        <f>BF33</f>
        <v>16.5</v>
      </c>
      <c r="BK15" s="194">
        <f t="shared" si="3"/>
        <v>0</v>
      </c>
      <c r="BL15" s="194">
        <f t="shared" si="4"/>
        <v>0</v>
      </c>
      <c r="BM15" s="194">
        <f t="shared" si="5"/>
        <v>16.5</v>
      </c>
      <c r="BN15" s="189">
        <f t="shared" si="6"/>
        <v>16.5</v>
      </c>
      <c r="BO15" s="159"/>
      <c r="BP15" s="51"/>
    </row>
    <row r="16" spans="1:71" ht="15" hidden="1" x14ac:dyDescent="0.25">
      <c r="A16" s="184" t="s">
        <v>135</v>
      </c>
      <c r="B16" s="189" t="str">
        <f>IF(ISNA(B$11),"",(B13*B$6*0.01))</f>
        <v/>
      </c>
      <c r="C16" s="189" t="str">
        <f t="shared" ref="C16:BC16" si="14">IF(ISNA(C$11),"",(C13*C$6*0.01))</f>
        <v/>
      </c>
      <c r="D16" s="189" t="str">
        <f t="shared" si="14"/>
        <v/>
      </c>
      <c r="E16" s="189" t="str">
        <f t="shared" si="14"/>
        <v/>
      </c>
      <c r="F16" s="189" t="str">
        <f t="shared" si="14"/>
        <v/>
      </c>
      <c r="G16" s="189" t="str">
        <f t="shared" si="14"/>
        <v/>
      </c>
      <c r="H16" s="189" t="str">
        <f t="shared" si="14"/>
        <v/>
      </c>
      <c r="I16" s="189" t="str">
        <f t="shared" si="14"/>
        <v/>
      </c>
      <c r="J16" s="189" t="str">
        <f t="shared" si="14"/>
        <v/>
      </c>
      <c r="K16" s="189" t="str">
        <f t="shared" si="14"/>
        <v/>
      </c>
      <c r="L16" s="189" t="str">
        <f>IF(ISNA(L$11),"",(L13*L$6*0.01))</f>
        <v/>
      </c>
      <c r="M16" s="189" t="str">
        <f t="shared" si="14"/>
        <v/>
      </c>
      <c r="N16" s="189" t="str">
        <f t="shared" si="14"/>
        <v/>
      </c>
      <c r="O16" s="189" t="str">
        <f t="shared" si="14"/>
        <v/>
      </c>
      <c r="P16" s="189" t="str">
        <f t="shared" si="14"/>
        <v/>
      </c>
      <c r="Q16" s="189" t="str">
        <f t="shared" si="14"/>
        <v/>
      </c>
      <c r="R16" s="189" t="str">
        <f t="shared" si="14"/>
        <v/>
      </c>
      <c r="S16" s="189" t="str">
        <f t="shared" si="14"/>
        <v/>
      </c>
      <c r="T16" s="189" t="str">
        <f t="shared" si="14"/>
        <v/>
      </c>
      <c r="U16" s="189" t="str">
        <f t="shared" si="14"/>
        <v/>
      </c>
      <c r="V16" s="189" t="str">
        <f t="shared" si="14"/>
        <v/>
      </c>
      <c r="W16" s="189" t="str">
        <f>IF(ISNA(W$11),"",(W13*W$6*0.01))</f>
        <v/>
      </c>
      <c r="X16" s="189" t="str">
        <f t="shared" si="14"/>
        <v/>
      </c>
      <c r="Y16" s="189" t="str">
        <f t="shared" si="14"/>
        <v/>
      </c>
      <c r="Z16" s="189" t="str">
        <f t="shared" si="14"/>
        <v/>
      </c>
      <c r="AA16" s="189" t="str">
        <f t="shared" si="14"/>
        <v/>
      </c>
      <c r="AB16" s="189" t="str">
        <f t="shared" si="14"/>
        <v/>
      </c>
      <c r="AC16" s="189" t="str">
        <f t="shared" si="14"/>
        <v/>
      </c>
      <c r="AD16" s="189" t="str">
        <f t="shared" si="14"/>
        <v/>
      </c>
      <c r="AE16" s="189" t="str">
        <f t="shared" si="14"/>
        <v/>
      </c>
      <c r="AF16" s="189" t="str">
        <f t="shared" si="14"/>
        <v/>
      </c>
      <c r="AG16" s="189" t="str">
        <f t="shared" si="14"/>
        <v/>
      </c>
      <c r="AH16" s="189" t="str">
        <f>IF(ISNA(AH$11),"",(AH13*AH$6*0.01))</f>
        <v/>
      </c>
      <c r="AI16" s="189" t="str">
        <f t="shared" si="14"/>
        <v/>
      </c>
      <c r="AJ16" s="189" t="str">
        <f t="shared" si="14"/>
        <v/>
      </c>
      <c r="AK16" s="189" t="str">
        <f t="shared" si="14"/>
        <v/>
      </c>
      <c r="AL16" s="189" t="str">
        <f t="shared" si="14"/>
        <v/>
      </c>
      <c r="AM16" s="189" t="str">
        <f t="shared" si="14"/>
        <v/>
      </c>
      <c r="AN16" s="189" t="str">
        <f t="shared" si="14"/>
        <v/>
      </c>
      <c r="AO16" s="189" t="str">
        <f t="shared" si="14"/>
        <v/>
      </c>
      <c r="AP16" s="189" t="str">
        <f t="shared" si="14"/>
        <v/>
      </c>
      <c r="AQ16" s="189" t="str">
        <f t="shared" si="14"/>
        <v/>
      </c>
      <c r="AR16" s="189" t="str">
        <f t="shared" si="14"/>
        <v/>
      </c>
      <c r="AS16" s="189" t="str">
        <f>IF(ISNA(AS$11),"",(AS13*AS$6*0.01))</f>
        <v/>
      </c>
      <c r="AT16" s="189">
        <f t="shared" si="14"/>
        <v>0</v>
      </c>
      <c r="AU16" s="189" t="str">
        <f t="shared" si="14"/>
        <v/>
      </c>
      <c r="AV16" s="189" t="str">
        <f t="shared" si="14"/>
        <v/>
      </c>
      <c r="AW16" s="189" t="str">
        <f t="shared" si="14"/>
        <v/>
      </c>
      <c r="AX16" s="189" t="str">
        <f t="shared" si="14"/>
        <v/>
      </c>
      <c r="AY16" s="189" t="str">
        <f t="shared" si="14"/>
        <v/>
      </c>
      <c r="AZ16" s="189" t="str">
        <f t="shared" si="14"/>
        <v/>
      </c>
      <c r="BA16" s="189" t="str">
        <f t="shared" si="14"/>
        <v/>
      </c>
      <c r="BB16" s="189" t="str">
        <f t="shared" si="14"/>
        <v/>
      </c>
      <c r="BC16" s="201" t="str">
        <f t="shared" si="14"/>
        <v/>
      </c>
      <c r="BD16" s="201" t="str">
        <f>IF(ISNA(BD$11),"",(BD13*BD$6*0.01))</f>
        <v/>
      </c>
      <c r="BE16" s="183">
        <f t="shared" si="9"/>
        <v>0</v>
      </c>
      <c r="BF16" s="207" t="e">
        <f t="shared" si="10"/>
        <v>#DIV/0!</v>
      </c>
      <c r="BG16" s="205" t="s">
        <v>135</v>
      </c>
      <c r="BH16" s="410" t="e">
        <f>BF16</f>
        <v>#DIV/0!</v>
      </c>
      <c r="BI16" s="410" t="e">
        <f>BF25</f>
        <v>#DIV/0!</v>
      </c>
      <c r="BJ16" s="410">
        <f>BF34</f>
        <v>3</v>
      </c>
      <c r="BK16" s="194">
        <f t="shared" si="3"/>
        <v>0</v>
      </c>
      <c r="BL16" s="194">
        <f t="shared" si="4"/>
        <v>0</v>
      </c>
      <c r="BM16" s="194">
        <f t="shared" si="5"/>
        <v>3</v>
      </c>
      <c r="BN16" s="189">
        <f t="shared" si="6"/>
        <v>3</v>
      </c>
      <c r="BO16" s="159"/>
      <c r="BP16" s="51"/>
    </row>
    <row r="17" spans="1:68" ht="15" hidden="1" x14ac:dyDescent="0.25">
      <c r="A17" s="184" t="s">
        <v>136</v>
      </c>
      <c r="B17" s="189" t="str">
        <f>IF(ISNA(B$11),"",(B13*B$7*0.01))</f>
        <v/>
      </c>
      <c r="C17" s="189" t="str">
        <f t="shared" ref="C17:BC17" si="15">IF(ISNA(C$11),"",(C13*C$7*0.01))</f>
        <v/>
      </c>
      <c r="D17" s="189" t="str">
        <f t="shared" si="15"/>
        <v/>
      </c>
      <c r="E17" s="189" t="str">
        <f t="shared" si="15"/>
        <v/>
      </c>
      <c r="F17" s="189" t="str">
        <f t="shared" si="15"/>
        <v/>
      </c>
      <c r="G17" s="189" t="str">
        <f t="shared" si="15"/>
        <v/>
      </c>
      <c r="H17" s="189" t="str">
        <f t="shared" si="15"/>
        <v/>
      </c>
      <c r="I17" s="189" t="str">
        <f t="shared" si="15"/>
        <v/>
      </c>
      <c r="J17" s="189" t="str">
        <f t="shared" si="15"/>
        <v/>
      </c>
      <c r="K17" s="189" t="str">
        <f t="shared" si="15"/>
        <v/>
      </c>
      <c r="L17" s="189" t="str">
        <f>IF(ISNA(L$11),"",(L13*L$7*0.01))</f>
        <v/>
      </c>
      <c r="M17" s="189" t="str">
        <f t="shared" si="15"/>
        <v/>
      </c>
      <c r="N17" s="189" t="str">
        <f t="shared" si="15"/>
        <v/>
      </c>
      <c r="O17" s="189" t="str">
        <f t="shared" si="15"/>
        <v/>
      </c>
      <c r="P17" s="189" t="str">
        <f t="shared" si="15"/>
        <v/>
      </c>
      <c r="Q17" s="189" t="str">
        <f t="shared" si="15"/>
        <v/>
      </c>
      <c r="R17" s="189" t="str">
        <f t="shared" si="15"/>
        <v/>
      </c>
      <c r="S17" s="189" t="str">
        <f t="shared" si="15"/>
        <v/>
      </c>
      <c r="T17" s="189" t="str">
        <f t="shared" si="15"/>
        <v/>
      </c>
      <c r="U17" s="189" t="str">
        <f t="shared" si="15"/>
        <v/>
      </c>
      <c r="V17" s="189" t="str">
        <f t="shared" si="15"/>
        <v/>
      </c>
      <c r="W17" s="189" t="str">
        <f>IF(ISNA(W$11),"",(W13*W$7*0.01))</f>
        <v/>
      </c>
      <c r="X17" s="189" t="str">
        <f t="shared" si="15"/>
        <v/>
      </c>
      <c r="Y17" s="189" t="str">
        <f t="shared" si="15"/>
        <v/>
      </c>
      <c r="Z17" s="189" t="str">
        <f t="shared" si="15"/>
        <v/>
      </c>
      <c r="AA17" s="189" t="str">
        <f t="shared" si="15"/>
        <v/>
      </c>
      <c r="AB17" s="189" t="str">
        <f t="shared" si="15"/>
        <v/>
      </c>
      <c r="AC17" s="189" t="str">
        <f t="shared" si="15"/>
        <v/>
      </c>
      <c r="AD17" s="189" t="str">
        <f t="shared" si="15"/>
        <v/>
      </c>
      <c r="AE17" s="189" t="str">
        <f t="shared" si="15"/>
        <v/>
      </c>
      <c r="AF17" s="189" t="str">
        <f t="shared" si="15"/>
        <v/>
      </c>
      <c r="AG17" s="189" t="str">
        <f t="shared" si="15"/>
        <v/>
      </c>
      <c r="AH17" s="189" t="str">
        <f>IF(ISNA(AH$11),"",(AH13*AH$7*0.01))</f>
        <v/>
      </c>
      <c r="AI17" s="189" t="str">
        <f t="shared" si="15"/>
        <v/>
      </c>
      <c r="AJ17" s="189" t="str">
        <f t="shared" si="15"/>
        <v/>
      </c>
      <c r="AK17" s="189" t="str">
        <f t="shared" si="15"/>
        <v/>
      </c>
      <c r="AL17" s="189" t="str">
        <f t="shared" si="15"/>
        <v/>
      </c>
      <c r="AM17" s="189" t="str">
        <f t="shared" si="15"/>
        <v/>
      </c>
      <c r="AN17" s="189" t="str">
        <f t="shared" si="15"/>
        <v/>
      </c>
      <c r="AO17" s="189" t="str">
        <f t="shared" si="15"/>
        <v/>
      </c>
      <c r="AP17" s="189" t="str">
        <f t="shared" si="15"/>
        <v/>
      </c>
      <c r="AQ17" s="189" t="str">
        <f t="shared" si="15"/>
        <v/>
      </c>
      <c r="AR17" s="189" t="str">
        <f t="shared" si="15"/>
        <v/>
      </c>
      <c r="AS17" s="189" t="str">
        <f>IF(ISNA(AS$11),"",(AS13*AS$7*0.01))</f>
        <v/>
      </c>
      <c r="AT17" s="189">
        <f t="shared" si="15"/>
        <v>0</v>
      </c>
      <c r="AU17" s="189" t="str">
        <f t="shared" si="15"/>
        <v/>
      </c>
      <c r="AV17" s="189" t="str">
        <f t="shared" si="15"/>
        <v/>
      </c>
      <c r="AW17" s="189" t="str">
        <f t="shared" si="15"/>
        <v/>
      </c>
      <c r="AX17" s="189" t="str">
        <f t="shared" si="15"/>
        <v/>
      </c>
      <c r="AY17" s="189" t="str">
        <f t="shared" si="15"/>
        <v/>
      </c>
      <c r="AZ17" s="189" t="str">
        <f t="shared" si="15"/>
        <v/>
      </c>
      <c r="BA17" s="189" t="str">
        <f t="shared" si="15"/>
        <v/>
      </c>
      <c r="BB17" s="189" t="str">
        <f t="shared" si="15"/>
        <v/>
      </c>
      <c r="BC17" s="201" t="str">
        <f t="shared" si="15"/>
        <v/>
      </c>
      <c r="BD17" s="201" t="str">
        <f>IF(ISNA(BD$11),"",(BD13*BD$7*0.01))</f>
        <v/>
      </c>
      <c r="BE17" s="183">
        <f t="shared" si="9"/>
        <v>0</v>
      </c>
      <c r="BF17" s="207" t="e">
        <f t="shared" si="10"/>
        <v>#DIV/0!</v>
      </c>
      <c r="BG17" s="205" t="s">
        <v>136</v>
      </c>
      <c r="BH17" s="410" t="e">
        <f>BF17</f>
        <v>#DIV/0!</v>
      </c>
      <c r="BI17" s="410" t="e">
        <f>BF26</f>
        <v>#DIV/0!</v>
      </c>
      <c r="BJ17" s="410">
        <f>BF35</f>
        <v>1</v>
      </c>
      <c r="BK17" s="194">
        <f t="shared" si="3"/>
        <v>0</v>
      </c>
      <c r="BL17" s="194">
        <f t="shared" si="4"/>
        <v>0</v>
      </c>
      <c r="BM17" s="194">
        <f t="shared" si="5"/>
        <v>1</v>
      </c>
      <c r="BN17" s="189">
        <f t="shared" si="6"/>
        <v>1</v>
      </c>
      <c r="BO17" s="159"/>
      <c r="BP17" s="51"/>
    </row>
    <row r="18" spans="1:68" ht="15" hidden="1" x14ac:dyDescent="0.25">
      <c r="A18" s="411" t="s">
        <v>533</v>
      </c>
      <c r="B18" s="943" t="s">
        <v>406</v>
      </c>
      <c r="C18" s="944"/>
      <c r="D18" s="215"/>
      <c r="E18" s="215"/>
      <c r="F18" s="215"/>
      <c r="G18" s="215"/>
      <c r="H18" s="215"/>
      <c r="I18" s="215"/>
      <c r="J18" s="215"/>
      <c r="K18" s="215"/>
      <c r="L18" s="215"/>
      <c r="M18" s="215"/>
      <c r="N18" s="215"/>
      <c r="O18" s="215"/>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6"/>
      <c r="AP18" s="216"/>
      <c r="AQ18" s="216"/>
      <c r="AR18" s="216"/>
      <c r="AS18" s="216"/>
      <c r="AT18" s="216"/>
      <c r="AU18" s="216"/>
      <c r="AV18" s="216"/>
      <c r="AW18" s="216"/>
      <c r="AX18" s="216"/>
      <c r="AY18" s="216"/>
      <c r="AZ18" s="216"/>
      <c r="BA18" s="216"/>
      <c r="BB18" s="216"/>
      <c r="BC18" s="217"/>
      <c r="BD18" s="217"/>
      <c r="BE18" s="216"/>
      <c r="BF18" s="216"/>
      <c r="BG18" s="206"/>
      <c r="BH18" s="192"/>
      <c r="BI18" s="192"/>
      <c r="BJ18" s="192"/>
      <c r="BK18" s="159"/>
      <c r="BL18" s="159"/>
      <c r="BM18" s="159"/>
      <c r="BN18" s="192"/>
      <c r="BO18" s="159"/>
      <c r="BP18" s="51"/>
    </row>
    <row r="19" spans="1:68" hidden="1" x14ac:dyDescent="0.2">
      <c r="A19" s="190" t="s">
        <v>256</v>
      </c>
      <c r="B19" s="209" t="str">
        <f t="shared" ref="B19:BD19" si="16">B$1</f>
        <v>Wheat</v>
      </c>
      <c r="C19" s="209" t="str">
        <f t="shared" si="16"/>
        <v>Triticale</v>
      </c>
      <c r="D19" s="209" t="str">
        <f t="shared" si="16"/>
        <v>Sorghum</v>
      </c>
      <c r="E19" s="209" t="str">
        <f t="shared" si="16"/>
        <v>Maize</v>
      </c>
      <c r="F19" s="209" t="str">
        <f t="shared" si="16"/>
        <v>Barley</v>
      </c>
      <c r="G19" s="209" t="str">
        <f t="shared" si="16"/>
        <v>Oats</v>
      </c>
      <c r="H19" s="209" t="str">
        <f t="shared" si="16"/>
        <v>Lupins</v>
      </c>
      <c r="I19" s="209" t="str">
        <f t="shared" si="16"/>
        <v>Peas</v>
      </c>
      <c r="J19" s="209" t="str">
        <f t="shared" si="16"/>
        <v>Faba Beans</v>
      </c>
      <c r="K19" s="209" t="str">
        <f t="shared" si="16"/>
        <v>Brewers grains (dry)</v>
      </c>
      <c r="L19" s="209" t="str">
        <f t="shared" si="16"/>
        <v>Cottonseed(w)</v>
      </c>
      <c r="M19" s="209" t="str">
        <f t="shared" si="16"/>
        <v>Canola</v>
      </c>
      <c r="N19" s="209" t="str">
        <f t="shared" si="16"/>
        <v>Copra</v>
      </c>
      <c r="O19" s="209" t="str">
        <f t="shared" si="16"/>
        <v>Corn Gluten</v>
      </c>
      <c r="P19" s="209" t="str">
        <f t="shared" si="16"/>
        <v>Cottonseed</v>
      </c>
      <c r="Q19" s="209" t="str">
        <f t="shared" si="16"/>
        <v>Safflower</v>
      </c>
      <c r="R19" s="209" t="str">
        <f t="shared" si="16"/>
        <v>Soyabean</v>
      </c>
      <c r="S19" s="209" t="str">
        <f t="shared" si="16"/>
        <v>Sunflower</v>
      </c>
      <c r="T19" s="209">
        <f t="shared" si="16"/>
        <v>0</v>
      </c>
      <c r="U19" s="209">
        <f t="shared" si="16"/>
        <v>0</v>
      </c>
      <c r="V19" s="209">
        <f t="shared" si="16"/>
        <v>0</v>
      </c>
      <c r="W19" s="209">
        <f t="shared" si="16"/>
        <v>0</v>
      </c>
      <c r="X19" s="209" t="str">
        <f t="shared" si="16"/>
        <v>Pasture Hay</v>
      </c>
      <c r="Y19" s="209" t="str">
        <f t="shared" si="16"/>
        <v>Cereal hay 1</v>
      </c>
      <c r="Z19" s="209" t="str">
        <f t="shared" si="16"/>
        <v>Cereal hay 2</v>
      </c>
      <c r="AA19" s="209" t="str">
        <f t="shared" si="16"/>
        <v>Lucerne Hay</v>
      </c>
      <c r="AB19" s="209" t="str">
        <f t="shared" si="16"/>
        <v>Pasture Hay</v>
      </c>
      <c r="AC19" s="209">
        <f t="shared" si="16"/>
        <v>0</v>
      </c>
      <c r="AD19" s="209" t="str">
        <f t="shared" si="16"/>
        <v>Cereal Silage</v>
      </c>
      <c r="AE19" s="209" t="str">
        <f t="shared" si="16"/>
        <v>Pasture Silage</v>
      </c>
      <c r="AF19" s="209" t="str">
        <f t="shared" si="16"/>
        <v>Lucerne Silage</v>
      </c>
      <c r="AG19" s="209" t="str">
        <f t="shared" si="16"/>
        <v>Maize Silage</v>
      </c>
      <c r="AH19" s="209" t="str">
        <f t="shared" si="16"/>
        <v>Sorghum Silage</v>
      </c>
      <c r="AI19" s="209" t="str">
        <f t="shared" si="16"/>
        <v>Bentonite</v>
      </c>
      <c r="AJ19" s="209" t="str">
        <f t="shared" si="16"/>
        <v>Bicarb</v>
      </c>
      <c r="AK19" s="209" t="str">
        <f t="shared" si="16"/>
        <v>Lime</v>
      </c>
      <c r="AL19" s="209" t="str">
        <f t="shared" si="16"/>
        <v>Salt</v>
      </c>
      <c r="AM19" s="209" t="str">
        <f t="shared" si="16"/>
        <v>Urea</v>
      </c>
      <c r="AN19" s="209" t="str">
        <f t="shared" si="16"/>
        <v>Premix</v>
      </c>
      <c r="AO19" s="209" t="str">
        <f t="shared" si="16"/>
        <v>Molasses</v>
      </c>
      <c r="AP19" s="209" t="str">
        <f t="shared" si="16"/>
        <v>Acid Buff</v>
      </c>
      <c r="AQ19" s="209" t="str">
        <f t="shared" si="16"/>
        <v>Causmag</v>
      </c>
      <c r="AR19" s="209">
        <f t="shared" si="16"/>
        <v>0</v>
      </c>
      <c r="AS19" s="209">
        <f t="shared" si="16"/>
        <v>0</v>
      </c>
      <c r="AT19" s="209" t="str">
        <f t="shared" si="16"/>
        <v>Pellet/Mix</v>
      </c>
      <c r="AU19" s="209" t="str">
        <f t="shared" si="16"/>
        <v>Carrots</v>
      </c>
      <c r="AV19" s="209" t="str">
        <f t="shared" si="16"/>
        <v>Pellets</v>
      </c>
      <c r="AW19" s="209">
        <f t="shared" si="16"/>
        <v>0</v>
      </c>
      <c r="AX19" s="209">
        <f t="shared" si="16"/>
        <v>0</v>
      </c>
      <c r="AY19" s="209">
        <f t="shared" si="16"/>
        <v>0</v>
      </c>
      <c r="AZ19" s="209">
        <f t="shared" si="16"/>
        <v>0</v>
      </c>
      <c r="BA19" s="209">
        <f t="shared" si="16"/>
        <v>0</v>
      </c>
      <c r="BB19" s="209">
        <f t="shared" si="16"/>
        <v>0</v>
      </c>
      <c r="BC19" s="210">
        <f t="shared" si="16"/>
        <v>0</v>
      </c>
      <c r="BD19" s="210">
        <f t="shared" si="16"/>
        <v>0</v>
      </c>
      <c r="BE19" s="159"/>
      <c r="BF19" s="190"/>
      <c r="BG19" s="206"/>
      <c r="BH19" s="192"/>
      <c r="BI19" s="192"/>
      <c r="BJ19" s="192"/>
      <c r="BK19" s="159"/>
      <c r="BL19" s="159"/>
      <c r="BM19" s="159"/>
      <c r="BN19" s="192"/>
      <c r="BO19" s="159"/>
      <c r="BP19" s="51"/>
    </row>
    <row r="20" spans="1:68" ht="15" hidden="1" x14ac:dyDescent="0.25">
      <c r="A20" s="182" t="s">
        <v>188</v>
      </c>
      <c r="B20" s="159" t="e">
        <f>VLOOKUP(B$1,Rations!$B$5:$H$27,3,FALSE)</f>
        <v>#N/A</v>
      </c>
      <c r="C20" s="159" t="e">
        <f>VLOOKUP(C$1,Rations!$B$5:$H$27,3,FALSE)</f>
        <v>#N/A</v>
      </c>
      <c r="D20" s="159" t="e">
        <f>VLOOKUP(D$1,Rations!$B$5:$H$27,3,FALSE)</f>
        <v>#N/A</v>
      </c>
      <c r="E20" s="159" t="e">
        <f>VLOOKUP(E$1,Rations!$B$5:$H$27,3,FALSE)</f>
        <v>#N/A</v>
      </c>
      <c r="F20" s="159" t="e">
        <f>VLOOKUP(F$1,Rations!$B$5:$H$27,3,FALSE)</f>
        <v>#N/A</v>
      </c>
      <c r="G20" s="159" t="e">
        <f>VLOOKUP(G$1,Rations!$B$5:$H$27,3,FALSE)</f>
        <v>#N/A</v>
      </c>
      <c r="H20" s="159" t="e">
        <f>VLOOKUP(H$1,Rations!$B$5:$H$27,3,FALSE)</f>
        <v>#N/A</v>
      </c>
      <c r="I20" s="159" t="e">
        <f>VLOOKUP(I$1,Rations!$B$5:$H$27,3,FALSE)</f>
        <v>#N/A</v>
      </c>
      <c r="J20" s="159" t="e">
        <f>VLOOKUP(J$1,Rations!$B$5:$H$27,3,FALSE)</f>
        <v>#N/A</v>
      </c>
      <c r="K20" s="159" t="e">
        <f>VLOOKUP(K$1,Rations!$B$5:$H$27,3,FALSE)</f>
        <v>#N/A</v>
      </c>
      <c r="L20" s="159" t="e">
        <f>VLOOKUP(L$1,Rations!$B$5:$H$27,3,FALSE)</f>
        <v>#N/A</v>
      </c>
      <c r="M20" s="159" t="e">
        <f>VLOOKUP(M$1,Rations!$B$5:$H$27,3,FALSE)</f>
        <v>#N/A</v>
      </c>
      <c r="N20" s="159" t="e">
        <f>VLOOKUP(N$1,Rations!$B$5:$H$27,3,FALSE)</f>
        <v>#N/A</v>
      </c>
      <c r="O20" s="159" t="e">
        <f>VLOOKUP(O$1,Rations!$B$5:$H$27,3,FALSE)</f>
        <v>#N/A</v>
      </c>
      <c r="P20" s="159" t="e">
        <f>VLOOKUP(P$1,Rations!$B$5:$H$27,3,FALSE)</f>
        <v>#N/A</v>
      </c>
      <c r="Q20" s="159" t="e">
        <f>VLOOKUP(Q$1,Rations!$B$5:$H$27,3,FALSE)</f>
        <v>#N/A</v>
      </c>
      <c r="R20" s="159" t="e">
        <f>VLOOKUP(R$1,Rations!$B$5:$H$27,3,FALSE)</f>
        <v>#N/A</v>
      </c>
      <c r="S20" s="159" t="e">
        <f>VLOOKUP(S$1,Rations!$B$5:$H$27,3,FALSE)</f>
        <v>#N/A</v>
      </c>
      <c r="T20" s="159" t="e">
        <f>VLOOKUP(T$1,Rations!$B$5:$H$27,3,FALSE)</f>
        <v>#N/A</v>
      </c>
      <c r="U20" s="159" t="e">
        <f>VLOOKUP(U$1,Rations!$B$5:$H$27,3,FALSE)</f>
        <v>#N/A</v>
      </c>
      <c r="V20" s="159" t="e">
        <f>VLOOKUP(V$1,Rations!$B$5:$H$27,3,FALSE)</f>
        <v>#N/A</v>
      </c>
      <c r="W20" s="159" t="e">
        <f>VLOOKUP(W$1,Rations!$B$5:$H$27,3,FALSE)</f>
        <v>#N/A</v>
      </c>
      <c r="X20" s="159" t="e">
        <f>VLOOKUP(X$1,Rations!$B$5:$H$27,3,FALSE)</f>
        <v>#N/A</v>
      </c>
      <c r="Y20" s="159" t="e">
        <f>VLOOKUP(Y$1,Rations!$B$5:$H$27,3,FALSE)</f>
        <v>#N/A</v>
      </c>
      <c r="Z20" s="159" t="e">
        <f>VLOOKUP(Z$1,Rations!$B$5:$H$27,3,FALSE)</f>
        <v>#N/A</v>
      </c>
      <c r="AA20" s="159" t="e">
        <f>VLOOKUP(AA$1,Rations!$B$5:$H$27,3,FALSE)</f>
        <v>#N/A</v>
      </c>
      <c r="AB20" s="159" t="e">
        <f>VLOOKUP(AB$1,Rations!$B$5:$H$27,3,FALSE)</f>
        <v>#N/A</v>
      </c>
      <c r="AC20" s="159" t="e">
        <f>VLOOKUP(AC$1,Rations!$B$5:$H$27,3,FALSE)</f>
        <v>#N/A</v>
      </c>
      <c r="AD20" s="159" t="e">
        <f>VLOOKUP(AD$1,Rations!$B$5:$H$27,3,FALSE)</f>
        <v>#N/A</v>
      </c>
      <c r="AE20" s="159" t="e">
        <f>VLOOKUP(AE$1,Rations!$B$5:$H$27,3,FALSE)</f>
        <v>#N/A</v>
      </c>
      <c r="AF20" s="159" t="e">
        <f>VLOOKUP(AF$1,Rations!$B$5:$H$27,3,FALSE)</f>
        <v>#N/A</v>
      </c>
      <c r="AG20" s="159" t="e">
        <f>VLOOKUP(AG$1,Rations!$B$5:$H$27,3,FALSE)</f>
        <v>#N/A</v>
      </c>
      <c r="AH20" s="159" t="e">
        <f>VLOOKUP(AH$1,Rations!$B$5:$H$27,3,FALSE)</f>
        <v>#N/A</v>
      </c>
      <c r="AI20" s="159" t="e">
        <f>VLOOKUP(AI$1,Rations!$B$5:$H$27,3,FALSE)</f>
        <v>#N/A</v>
      </c>
      <c r="AJ20" s="159" t="e">
        <f>VLOOKUP(AJ$1,Rations!$B$5:$H$27,3,FALSE)</f>
        <v>#N/A</v>
      </c>
      <c r="AK20" s="159" t="e">
        <f>VLOOKUP(AK$1,Rations!$B$5:$H$27,3,FALSE)</f>
        <v>#N/A</v>
      </c>
      <c r="AL20" s="159" t="e">
        <f>VLOOKUP(AL$1,Rations!$B$5:$H$27,3,FALSE)</f>
        <v>#N/A</v>
      </c>
      <c r="AM20" s="159" t="e">
        <f>VLOOKUP(AM$1,Rations!$B$5:$H$27,3,FALSE)</f>
        <v>#N/A</v>
      </c>
      <c r="AN20" s="159" t="e">
        <f>VLOOKUP(AN$1,Rations!$B$5:$H$27,3,FALSE)</f>
        <v>#N/A</v>
      </c>
      <c r="AO20" s="159" t="e">
        <f>VLOOKUP(AO$1,Rations!$B$5:$H$27,3,FALSE)</f>
        <v>#N/A</v>
      </c>
      <c r="AP20" s="159" t="e">
        <f>VLOOKUP(AP$1,Rations!$B$5:$H$27,3,FALSE)</f>
        <v>#N/A</v>
      </c>
      <c r="AQ20" s="159" t="e">
        <f>VLOOKUP(AQ$1,Rations!$B$5:$H$27,3,FALSE)</f>
        <v>#N/A</v>
      </c>
      <c r="AR20" s="159" t="e">
        <f>VLOOKUP(AR$1,Rations!$B$5:$H$27,3,FALSE)</f>
        <v>#N/A</v>
      </c>
      <c r="AS20" s="159" t="e">
        <f>VLOOKUP(AS$1,Rations!$B$5:$H$27,3,FALSE)</f>
        <v>#N/A</v>
      </c>
      <c r="AT20" s="159">
        <f>VLOOKUP(AT$1,Rations!$B$5:$H$27,3,FALSE)</f>
        <v>0</v>
      </c>
      <c r="AU20" s="159" t="e">
        <f>VLOOKUP(AU$1,Rations!$B$5:$H$27,3,FALSE)</f>
        <v>#N/A</v>
      </c>
      <c r="AV20" s="159" t="e">
        <f>VLOOKUP(AV$1,Rations!$B$5:$H$27,3,FALSE)</f>
        <v>#N/A</v>
      </c>
      <c r="AW20" s="159" t="e">
        <f>VLOOKUP(AW$1,Rations!$B$5:$H$27,3,FALSE)</f>
        <v>#N/A</v>
      </c>
      <c r="AX20" s="159" t="e">
        <f>VLOOKUP(AX$1,Rations!$B$5:$H$27,3,FALSE)</f>
        <v>#N/A</v>
      </c>
      <c r="AY20" s="159" t="e">
        <f>VLOOKUP(AY$1,Rations!$B$5:$H$27,3,FALSE)</f>
        <v>#N/A</v>
      </c>
      <c r="AZ20" s="159" t="e">
        <f>VLOOKUP(AZ$1,Rations!$B$5:$H$27,3,FALSE)</f>
        <v>#N/A</v>
      </c>
      <c r="BA20" s="159" t="e">
        <f>VLOOKUP(BA$1,Rations!$B$5:$H$27,3,FALSE)</f>
        <v>#N/A</v>
      </c>
      <c r="BB20" s="159" t="e">
        <f>VLOOKUP(BB$1,Rations!$B$5:$H$27,3,FALSE)</f>
        <v>#N/A</v>
      </c>
      <c r="BC20" s="202" t="e">
        <f>VLOOKUP(BC$1,Rations!$B$5:$H$27,3,FALSE)</f>
        <v>#N/A</v>
      </c>
      <c r="BD20" s="202" t="e">
        <f>VLOOKUP(BD$1,Rations!$B$5:$H$27,3,FALSE)</f>
        <v>#N/A</v>
      </c>
      <c r="BE20" s="159"/>
      <c r="BF20" s="190"/>
      <c r="BG20" s="61"/>
      <c r="BH20" s="55"/>
      <c r="BI20" s="55"/>
      <c r="BJ20" s="55"/>
      <c r="BK20" s="55"/>
      <c r="BL20" s="55"/>
      <c r="BM20" s="55"/>
      <c r="BN20" s="55"/>
      <c r="BO20" s="55"/>
      <c r="BP20" s="51"/>
    </row>
    <row r="21" spans="1:68" ht="15" hidden="1" x14ac:dyDescent="0.25">
      <c r="A21" s="189" t="s">
        <v>154</v>
      </c>
      <c r="B21" s="185" t="str">
        <f t="shared" ref="B21:AJ21" si="17">IF(ISNA(B$11),"",(B20*B$2*0.01))</f>
        <v/>
      </c>
      <c r="C21" s="185" t="str">
        <f t="shared" si="17"/>
        <v/>
      </c>
      <c r="D21" s="185" t="str">
        <f t="shared" si="17"/>
        <v/>
      </c>
      <c r="E21" s="185" t="str">
        <f t="shared" si="17"/>
        <v/>
      </c>
      <c r="F21" s="185" t="str">
        <f t="shared" si="17"/>
        <v/>
      </c>
      <c r="G21" s="185" t="str">
        <f t="shared" si="17"/>
        <v/>
      </c>
      <c r="H21" s="185" t="str">
        <f t="shared" si="17"/>
        <v/>
      </c>
      <c r="I21" s="185" t="str">
        <f t="shared" si="17"/>
        <v/>
      </c>
      <c r="J21" s="185" t="str">
        <f t="shared" si="17"/>
        <v/>
      </c>
      <c r="K21" s="185" t="str">
        <f t="shared" si="17"/>
        <v/>
      </c>
      <c r="L21" s="185" t="str">
        <f t="shared" si="17"/>
        <v/>
      </c>
      <c r="M21" s="185" t="str">
        <f t="shared" si="17"/>
        <v/>
      </c>
      <c r="N21" s="185" t="str">
        <f t="shared" si="17"/>
        <v/>
      </c>
      <c r="O21" s="185" t="str">
        <f t="shared" si="17"/>
        <v/>
      </c>
      <c r="P21" s="185" t="str">
        <f t="shared" si="17"/>
        <v/>
      </c>
      <c r="Q21" s="185" t="str">
        <f t="shared" si="17"/>
        <v/>
      </c>
      <c r="R21" s="185" t="str">
        <f t="shared" si="17"/>
        <v/>
      </c>
      <c r="S21" s="185" t="str">
        <f t="shared" si="17"/>
        <v/>
      </c>
      <c r="T21" s="185" t="str">
        <f t="shared" si="17"/>
        <v/>
      </c>
      <c r="U21" s="185" t="str">
        <f t="shared" si="17"/>
        <v/>
      </c>
      <c r="V21" s="185" t="str">
        <f t="shared" si="17"/>
        <v/>
      </c>
      <c r="W21" s="185" t="str">
        <f t="shared" si="17"/>
        <v/>
      </c>
      <c r="X21" s="185" t="str">
        <f t="shared" si="17"/>
        <v/>
      </c>
      <c r="Y21" s="185" t="str">
        <f t="shared" si="17"/>
        <v/>
      </c>
      <c r="Z21" s="185" t="str">
        <f t="shared" si="17"/>
        <v/>
      </c>
      <c r="AA21" s="185" t="str">
        <f t="shared" si="17"/>
        <v/>
      </c>
      <c r="AB21" s="185" t="str">
        <f t="shared" si="17"/>
        <v/>
      </c>
      <c r="AC21" s="185" t="str">
        <f t="shared" si="17"/>
        <v/>
      </c>
      <c r="AD21" s="185" t="str">
        <f t="shared" si="17"/>
        <v/>
      </c>
      <c r="AE21" s="185" t="str">
        <f t="shared" si="17"/>
        <v/>
      </c>
      <c r="AF21" s="185" t="str">
        <f t="shared" si="17"/>
        <v/>
      </c>
      <c r="AG21" s="185" t="str">
        <f t="shared" si="17"/>
        <v/>
      </c>
      <c r="AH21" s="185" t="str">
        <f t="shared" si="17"/>
        <v/>
      </c>
      <c r="AI21" s="185" t="str">
        <f t="shared" si="17"/>
        <v/>
      </c>
      <c r="AJ21" s="185" t="str">
        <f t="shared" si="17"/>
        <v/>
      </c>
      <c r="AK21" s="185" t="str">
        <f t="shared" ref="AK21:BD21" si="18">IF(ISNA(AK$11),"",(AK20*AK$2*0.01))</f>
        <v/>
      </c>
      <c r="AL21" s="185" t="str">
        <f t="shared" si="18"/>
        <v/>
      </c>
      <c r="AM21" s="185" t="str">
        <f t="shared" si="18"/>
        <v/>
      </c>
      <c r="AN21" s="185" t="str">
        <f t="shared" si="18"/>
        <v/>
      </c>
      <c r="AO21" s="185" t="str">
        <f t="shared" si="18"/>
        <v/>
      </c>
      <c r="AP21" s="185" t="str">
        <f t="shared" si="18"/>
        <v/>
      </c>
      <c r="AQ21" s="185" t="str">
        <f t="shared" si="18"/>
        <v/>
      </c>
      <c r="AR21" s="185" t="str">
        <f t="shared" si="18"/>
        <v/>
      </c>
      <c r="AS21" s="185" t="str">
        <f t="shared" si="18"/>
        <v/>
      </c>
      <c r="AT21" s="185">
        <f t="shared" si="18"/>
        <v>0</v>
      </c>
      <c r="AU21" s="185" t="str">
        <f t="shared" si="18"/>
        <v/>
      </c>
      <c r="AV21" s="185" t="str">
        <f t="shared" si="18"/>
        <v/>
      </c>
      <c r="AW21" s="185" t="str">
        <f t="shared" si="18"/>
        <v/>
      </c>
      <c r="AX21" s="185" t="str">
        <f t="shared" si="18"/>
        <v/>
      </c>
      <c r="AY21" s="185" t="str">
        <f t="shared" si="18"/>
        <v/>
      </c>
      <c r="AZ21" s="185" t="str">
        <f t="shared" si="18"/>
        <v/>
      </c>
      <c r="BA21" s="185" t="str">
        <f t="shared" si="18"/>
        <v/>
      </c>
      <c r="BB21" s="185" t="str">
        <f t="shared" si="18"/>
        <v/>
      </c>
      <c r="BC21" s="196" t="str">
        <f t="shared" si="18"/>
        <v/>
      </c>
      <c r="BD21" s="196" t="str">
        <f t="shared" si="18"/>
        <v/>
      </c>
      <c r="BE21" s="183">
        <f t="shared" ref="BE21:BE26" si="19">SUM(B21:BD21)</f>
        <v>0</v>
      </c>
      <c r="BF21" s="207" t="e">
        <f t="shared" ref="BF21:BF26" si="20">BE21*100/$BE$22</f>
        <v>#DIV/0!</v>
      </c>
      <c r="BG21" s="61"/>
      <c r="BH21" s="55"/>
      <c r="BI21" s="55"/>
      <c r="BJ21" s="55"/>
      <c r="BK21" s="55"/>
      <c r="BL21" s="55"/>
      <c r="BM21" s="55"/>
      <c r="BN21" s="55"/>
      <c r="BO21" s="55"/>
      <c r="BP21" s="51"/>
    </row>
    <row r="22" spans="1:68" ht="15" hidden="1" x14ac:dyDescent="0.25">
      <c r="A22" s="184" t="s">
        <v>189</v>
      </c>
      <c r="B22" s="183" t="str">
        <f t="shared" ref="B22:BC22" si="21">IF(ISNA(B$11),"",(B20*B$5*0.01))</f>
        <v/>
      </c>
      <c r="C22" s="183" t="str">
        <f t="shared" si="21"/>
        <v/>
      </c>
      <c r="D22" s="183" t="str">
        <f t="shared" si="21"/>
        <v/>
      </c>
      <c r="E22" s="183" t="str">
        <f t="shared" si="21"/>
        <v/>
      </c>
      <c r="F22" s="183" t="str">
        <f t="shared" si="21"/>
        <v/>
      </c>
      <c r="G22" s="183" t="str">
        <f t="shared" si="21"/>
        <v/>
      </c>
      <c r="H22" s="183" t="str">
        <f t="shared" si="21"/>
        <v/>
      </c>
      <c r="I22" s="183" t="str">
        <f t="shared" si="21"/>
        <v/>
      </c>
      <c r="J22" s="183" t="str">
        <f t="shared" si="21"/>
        <v/>
      </c>
      <c r="K22" s="183" t="str">
        <f t="shared" si="21"/>
        <v/>
      </c>
      <c r="L22" s="183" t="str">
        <f>IF(ISNA(L$11),"",(L20*L$5*0.01))</f>
        <v/>
      </c>
      <c r="M22" s="183" t="str">
        <f t="shared" si="21"/>
        <v/>
      </c>
      <c r="N22" s="183" t="str">
        <f t="shared" si="21"/>
        <v/>
      </c>
      <c r="O22" s="183" t="str">
        <f t="shared" si="21"/>
        <v/>
      </c>
      <c r="P22" s="183" t="str">
        <f t="shared" si="21"/>
        <v/>
      </c>
      <c r="Q22" s="183" t="str">
        <f t="shared" si="21"/>
        <v/>
      </c>
      <c r="R22" s="183" t="str">
        <f t="shared" si="21"/>
        <v/>
      </c>
      <c r="S22" s="183" t="str">
        <f t="shared" si="21"/>
        <v/>
      </c>
      <c r="T22" s="183" t="str">
        <f t="shared" si="21"/>
        <v/>
      </c>
      <c r="U22" s="183" t="str">
        <f t="shared" si="21"/>
        <v/>
      </c>
      <c r="V22" s="183" t="str">
        <f t="shared" si="21"/>
        <v/>
      </c>
      <c r="W22" s="183" t="str">
        <f>IF(ISNA(W$11),"",(W20*W$5*0.01))</f>
        <v/>
      </c>
      <c r="X22" s="183" t="str">
        <f t="shared" si="21"/>
        <v/>
      </c>
      <c r="Y22" s="183" t="str">
        <f t="shared" si="21"/>
        <v/>
      </c>
      <c r="Z22" s="183" t="str">
        <f t="shared" si="21"/>
        <v/>
      </c>
      <c r="AA22" s="183" t="str">
        <f t="shared" si="21"/>
        <v/>
      </c>
      <c r="AB22" s="183" t="str">
        <f t="shared" si="21"/>
        <v/>
      </c>
      <c r="AC22" s="183" t="str">
        <f t="shared" si="21"/>
        <v/>
      </c>
      <c r="AD22" s="183" t="str">
        <f t="shared" si="21"/>
        <v/>
      </c>
      <c r="AE22" s="183" t="str">
        <f t="shared" si="21"/>
        <v/>
      </c>
      <c r="AF22" s="183" t="str">
        <f t="shared" si="21"/>
        <v/>
      </c>
      <c r="AG22" s="183" t="str">
        <f t="shared" si="21"/>
        <v/>
      </c>
      <c r="AH22" s="183" t="str">
        <f>IF(ISNA(AH$11),"",(AH20*AH$5*0.01))</f>
        <v/>
      </c>
      <c r="AI22" s="183" t="str">
        <f t="shared" si="21"/>
        <v/>
      </c>
      <c r="AJ22" s="183" t="str">
        <f t="shared" si="21"/>
        <v/>
      </c>
      <c r="AK22" s="183" t="str">
        <f t="shared" si="21"/>
        <v/>
      </c>
      <c r="AL22" s="183" t="str">
        <f t="shared" si="21"/>
        <v/>
      </c>
      <c r="AM22" s="183" t="str">
        <f t="shared" si="21"/>
        <v/>
      </c>
      <c r="AN22" s="183" t="str">
        <f t="shared" si="21"/>
        <v/>
      </c>
      <c r="AO22" s="183" t="str">
        <f t="shared" si="21"/>
        <v/>
      </c>
      <c r="AP22" s="183" t="str">
        <f t="shared" si="21"/>
        <v/>
      </c>
      <c r="AQ22" s="183" t="str">
        <f t="shared" si="21"/>
        <v/>
      </c>
      <c r="AR22" s="183" t="str">
        <f t="shared" si="21"/>
        <v/>
      </c>
      <c r="AS22" s="183" t="str">
        <f>IF(ISNA(AS$11),"",(AS20*AS$5*0.01))</f>
        <v/>
      </c>
      <c r="AT22" s="183">
        <f t="shared" si="21"/>
        <v>0</v>
      </c>
      <c r="AU22" s="183" t="str">
        <f t="shared" si="21"/>
        <v/>
      </c>
      <c r="AV22" s="183" t="str">
        <f t="shared" si="21"/>
        <v/>
      </c>
      <c r="AW22" s="183" t="str">
        <f t="shared" si="21"/>
        <v/>
      </c>
      <c r="AX22" s="183" t="str">
        <f t="shared" si="21"/>
        <v/>
      </c>
      <c r="AY22" s="183" t="str">
        <f t="shared" si="21"/>
        <v/>
      </c>
      <c r="AZ22" s="183" t="str">
        <f t="shared" si="21"/>
        <v/>
      </c>
      <c r="BA22" s="183" t="str">
        <f t="shared" si="21"/>
        <v/>
      </c>
      <c r="BB22" s="183" t="str">
        <f t="shared" si="21"/>
        <v/>
      </c>
      <c r="BC22" s="200" t="str">
        <f t="shared" si="21"/>
        <v/>
      </c>
      <c r="BD22" s="200" t="str">
        <f>IF(ISNA(BD$11),"",(BD20*BD$5*0.01))</f>
        <v/>
      </c>
      <c r="BE22" s="183">
        <f t="shared" si="19"/>
        <v>0</v>
      </c>
      <c r="BF22" s="207" t="e">
        <f t="shared" si="20"/>
        <v>#DIV/0!</v>
      </c>
      <c r="BG22" s="61"/>
      <c r="BH22" s="55"/>
      <c r="BI22" s="55"/>
      <c r="BJ22" s="55"/>
      <c r="BK22" s="55"/>
      <c r="BL22" s="55"/>
      <c r="BM22" s="55"/>
      <c r="BN22" s="55"/>
      <c r="BO22" s="55"/>
      <c r="BP22" s="51"/>
    </row>
    <row r="23" spans="1:68" ht="15" hidden="1" x14ac:dyDescent="0.25">
      <c r="A23" s="184" t="s">
        <v>190</v>
      </c>
      <c r="B23" s="183" t="str">
        <f>IF(ISNA(B$11),"",(B$3*B22*0.01))</f>
        <v/>
      </c>
      <c r="C23" s="183" t="str">
        <f t="shared" ref="C23:BD23" si="22">IF(ISNA(C$11),"",(C$3*C22*0.01))</f>
        <v/>
      </c>
      <c r="D23" s="183" t="str">
        <f t="shared" si="22"/>
        <v/>
      </c>
      <c r="E23" s="183" t="str">
        <f t="shared" si="22"/>
        <v/>
      </c>
      <c r="F23" s="183" t="str">
        <f t="shared" si="22"/>
        <v/>
      </c>
      <c r="G23" s="183" t="str">
        <f t="shared" si="22"/>
        <v/>
      </c>
      <c r="H23" s="183" t="str">
        <f t="shared" si="22"/>
        <v/>
      </c>
      <c r="I23" s="183" t="str">
        <f t="shared" si="22"/>
        <v/>
      </c>
      <c r="J23" s="183" t="str">
        <f t="shared" si="22"/>
        <v/>
      </c>
      <c r="K23" s="183" t="str">
        <f t="shared" si="22"/>
        <v/>
      </c>
      <c r="L23" s="183" t="str">
        <f t="shared" si="22"/>
        <v/>
      </c>
      <c r="M23" s="183" t="str">
        <f t="shared" si="22"/>
        <v/>
      </c>
      <c r="N23" s="183" t="str">
        <f t="shared" si="22"/>
        <v/>
      </c>
      <c r="O23" s="183" t="str">
        <f t="shared" si="22"/>
        <v/>
      </c>
      <c r="P23" s="183" t="str">
        <f t="shared" si="22"/>
        <v/>
      </c>
      <c r="Q23" s="183" t="str">
        <f t="shared" si="22"/>
        <v/>
      </c>
      <c r="R23" s="183" t="str">
        <f t="shared" si="22"/>
        <v/>
      </c>
      <c r="S23" s="183" t="str">
        <f t="shared" si="22"/>
        <v/>
      </c>
      <c r="T23" s="183" t="str">
        <f t="shared" si="22"/>
        <v/>
      </c>
      <c r="U23" s="183" t="str">
        <f t="shared" si="22"/>
        <v/>
      </c>
      <c r="V23" s="183" t="str">
        <f t="shared" si="22"/>
        <v/>
      </c>
      <c r="W23" s="183" t="str">
        <f t="shared" si="22"/>
        <v/>
      </c>
      <c r="X23" s="183" t="str">
        <f t="shared" si="22"/>
        <v/>
      </c>
      <c r="Y23" s="183" t="str">
        <f t="shared" si="22"/>
        <v/>
      </c>
      <c r="Z23" s="183" t="str">
        <f t="shared" si="22"/>
        <v/>
      </c>
      <c r="AA23" s="183" t="str">
        <f t="shared" si="22"/>
        <v/>
      </c>
      <c r="AB23" s="183" t="str">
        <f t="shared" si="22"/>
        <v/>
      </c>
      <c r="AC23" s="183" t="str">
        <f t="shared" si="22"/>
        <v/>
      </c>
      <c r="AD23" s="183" t="str">
        <f t="shared" si="22"/>
        <v/>
      </c>
      <c r="AE23" s="183" t="str">
        <f t="shared" si="22"/>
        <v/>
      </c>
      <c r="AF23" s="183" t="str">
        <f t="shared" si="22"/>
        <v/>
      </c>
      <c r="AG23" s="183" t="str">
        <f t="shared" si="22"/>
        <v/>
      </c>
      <c r="AH23" s="183" t="str">
        <f t="shared" si="22"/>
        <v/>
      </c>
      <c r="AI23" s="183" t="str">
        <f t="shared" si="22"/>
        <v/>
      </c>
      <c r="AJ23" s="183" t="str">
        <f t="shared" si="22"/>
        <v/>
      </c>
      <c r="AK23" s="183" t="str">
        <f t="shared" si="22"/>
        <v/>
      </c>
      <c r="AL23" s="183" t="str">
        <f t="shared" si="22"/>
        <v/>
      </c>
      <c r="AM23" s="183" t="str">
        <f t="shared" si="22"/>
        <v/>
      </c>
      <c r="AN23" s="183" t="str">
        <f t="shared" si="22"/>
        <v/>
      </c>
      <c r="AO23" s="183" t="str">
        <f t="shared" si="22"/>
        <v/>
      </c>
      <c r="AP23" s="183" t="str">
        <f t="shared" si="22"/>
        <v/>
      </c>
      <c r="AQ23" s="183" t="str">
        <f t="shared" si="22"/>
        <v/>
      </c>
      <c r="AR23" s="183" t="str">
        <f t="shared" si="22"/>
        <v/>
      </c>
      <c r="AS23" s="183" t="str">
        <f t="shared" si="22"/>
        <v/>
      </c>
      <c r="AT23" s="183">
        <f t="shared" si="22"/>
        <v>0</v>
      </c>
      <c r="AU23" s="183" t="str">
        <f t="shared" si="22"/>
        <v/>
      </c>
      <c r="AV23" s="183" t="str">
        <f t="shared" si="22"/>
        <v/>
      </c>
      <c r="AW23" s="183" t="str">
        <f t="shared" si="22"/>
        <v/>
      </c>
      <c r="AX23" s="183" t="str">
        <f t="shared" si="22"/>
        <v/>
      </c>
      <c r="AY23" s="183" t="str">
        <f t="shared" si="22"/>
        <v/>
      </c>
      <c r="AZ23" s="183" t="str">
        <f t="shared" si="22"/>
        <v/>
      </c>
      <c r="BA23" s="183" t="str">
        <f t="shared" si="22"/>
        <v/>
      </c>
      <c r="BB23" s="183" t="str">
        <f t="shared" si="22"/>
        <v/>
      </c>
      <c r="BC23" s="200" t="str">
        <f t="shared" si="22"/>
        <v/>
      </c>
      <c r="BD23" s="200" t="str">
        <f t="shared" si="22"/>
        <v/>
      </c>
      <c r="BE23" s="183">
        <f t="shared" si="19"/>
        <v>0</v>
      </c>
      <c r="BF23" s="207" t="e">
        <f t="shared" si="20"/>
        <v>#DIV/0!</v>
      </c>
      <c r="BG23" s="61"/>
      <c r="BH23" s="55"/>
      <c r="BI23" s="55"/>
      <c r="BJ23" s="55"/>
      <c r="BK23" s="55"/>
      <c r="BL23" s="55"/>
      <c r="BM23" s="55"/>
      <c r="BN23" s="55"/>
      <c r="BO23" s="55"/>
      <c r="BP23" s="51"/>
    </row>
    <row r="24" spans="1:68" ht="15" hidden="1" x14ac:dyDescent="0.25">
      <c r="A24" s="184" t="s">
        <v>191</v>
      </c>
      <c r="B24" s="183" t="str">
        <f>IF(ISNA(B$11),"",(B$4*B22*0.01))</f>
        <v/>
      </c>
      <c r="C24" s="183" t="str">
        <f t="shared" ref="C24:BC24" si="23">IF(ISNA(C$11),"",(C$4*C22*0.01))</f>
        <v/>
      </c>
      <c r="D24" s="183" t="str">
        <f t="shared" si="23"/>
        <v/>
      </c>
      <c r="E24" s="183" t="str">
        <f t="shared" si="23"/>
        <v/>
      </c>
      <c r="F24" s="183" t="str">
        <f t="shared" si="23"/>
        <v/>
      </c>
      <c r="G24" s="183" t="str">
        <f t="shared" si="23"/>
        <v/>
      </c>
      <c r="H24" s="183" t="str">
        <f t="shared" si="23"/>
        <v/>
      </c>
      <c r="I24" s="183" t="str">
        <f t="shared" si="23"/>
        <v/>
      </c>
      <c r="J24" s="183" t="str">
        <f t="shared" si="23"/>
        <v/>
      </c>
      <c r="K24" s="183" t="str">
        <f t="shared" si="23"/>
        <v/>
      </c>
      <c r="L24" s="183" t="str">
        <f>IF(ISNA(L$11),"",(L$4*L22*0.01))</f>
        <v/>
      </c>
      <c r="M24" s="183" t="str">
        <f t="shared" si="23"/>
        <v/>
      </c>
      <c r="N24" s="183" t="str">
        <f t="shared" si="23"/>
        <v/>
      </c>
      <c r="O24" s="183" t="str">
        <f t="shared" si="23"/>
        <v/>
      </c>
      <c r="P24" s="183" t="str">
        <f t="shared" si="23"/>
        <v/>
      </c>
      <c r="Q24" s="183" t="str">
        <f t="shared" si="23"/>
        <v/>
      </c>
      <c r="R24" s="183" t="str">
        <f t="shared" si="23"/>
        <v/>
      </c>
      <c r="S24" s="183" t="str">
        <f t="shared" si="23"/>
        <v/>
      </c>
      <c r="T24" s="183" t="str">
        <f t="shared" si="23"/>
        <v/>
      </c>
      <c r="U24" s="183" t="str">
        <f t="shared" si="23"/>
        <v/>
      </c>
      <c r="V24" s="183" t="str">
        <f t="shared" si="23"/>
        <v/>
      </c>
      <c r="W24" s="183" t="str">
        <f>IF(ISNA(W$11),"",(W$4*W22*0.01))</f>
        <v/>
      </c>
      <c r="X24" s="183" t="str">
        <f t="shared" si="23"/>
        <v/>
      </c>
      <c r="Y24" s="183" t="str">
        <f t="shared" si="23"/>
        <v/>
      </c>
      <c r="Z24" s="183" t="str">
        <f t="shared" si="23"/>
        <v/>
      </c>
      <c r="AA24" s="183" t="str">
        <f t="shared" si="23"/>
        <v/>
      </c>
      <c r="AB24" s="183" t="str">
        <f t="shared" si="23"/>
        <v/>
      </c>
      <c r="AC24" s="183" t="str">
        <f t="shared" si="23"/>
        <v/>
      </c>
      <c r="AD24" s="183" t="str">
        <f t="shared" si="23"/>
        <v/>
      </c>
      <c r="AE24" s="183" t="str">
        <f t="shared" si="23"/>
        <v/>
      </c>
      <c r="AF24" s="183" t="str">
        <f t="shared" si="23"/>
        <v/>
      </c>
      <c r="AG24" s="183" t="str">
        <f t="shared" si="23"/>
        <v/>
      </c>
      <c r="AH24" s="183" t="str">
        <f>IF(ISNA(AH$11),"",(AH$4*AH22*0.01))</f>
        <v/>
      </c>
      <c r="AI24" s="183" t="str">
        <f t="shared" si="23"/>
        <v/>
      </c>
      <c r="AJ24" s="183" t="str">
        <f t="shared" si="23"/>
        <v/>
      </c>
      <c r="AK24" s="183" t="str">
        <f t="shared" si="23"/>
        <v/>
      </c>
      <c r="AL24" s="183" t="str">
        <f t="shared" si="23"/>
        <v/>
      </c>
      <c r="AM24" s="183" t="str">
        <f t="shared" si="23"/>
        <v/>
      </c>
      <c r="AN24" s="183" t="str">
        <f t="shared" si="23"/>
        <v/>
      </c>
      <c r="AO24" s="183" t="str">
        <f t="shared" si="23"/>
        <v/>
      </c>
      <c r="AP24" s="183" t="str">
        <f t="shared" si="23"/>
        <v/>
      </c>
      <c r="AQ24" s="183" t="str">
        <f t="shared" si="23"/>
        <v/>
      </c>
      <c r="AR24" s="183" t="str">
        <f t="shared" si="23"/>
        <v/>
      </c>
      <c r="AS24" s="183" t="str">
        <f>IF(ISNA(AS$11),"",(AS$4*AS22*0.01))</f>
        <v/>
      </c>
      <c r="AT24" s="183">
        <f t="shared" si="23"/>
        <v>0</v>
      </c>
      <c r="AU24" s="183" t="str">
        <f t="shared" si="23"/>
        <v/>
      </c>
      <c r="AV24" s="183" t="str">
        <f t="shared" si="23"/>
        <v/>
      </c>
      <c r="AW24" s="183" t="str">
        <f t="shared" si="23"/>
        <v/>
      </c>
      <c r="AX24" s="183" t="str">
        <f t="shared" si="23"/>
        <v/>
      </c>
      <c r="AY24" s="183" t="str">
        <f t="shared" si="23"/>
        <v/>
      </c>
      <c r="AZ24" s="183" t="str">
        <f t="shared" si="23"/>
        <v/>
      </c>
      <c r="BA24" s="183" t="str">
        <f t="shared" si="23"/>
        <v/>
      </c>
      <c r="BB24" s="183" t="str">
        <f t="shared" si="23"/>
        <v/>
      </c>
      <c r="BC24" s="200" t="str">
        <f t="shared" si="23"/>
        <v/>
      </c>
      <c r="BD24" s="200" t="str">
        <f>IF(ISNA(BD$11),"",(BD$4*BD22*0.01))</f>
        <v/>
      </c>
      <c r="BE24" s="183">
        <f t="shared" si="19"/>
        <v>0</v>
      </c>
      <c r="BF24" s="207" t="e">
        <f t="shared" si="20"/>
        <v>#DIV/0!</v>
      </c>
      <c r="BG24" s="61"/>
      <c r="BH24" s="55"/>
      <c r="BI24" s="55"/>
      <c r="BJ24" s="55"/>
      <c r="BK24" s="55"/>
      <c r="BL24" s="55"/>
      <c r="BM24" s="55"/>
      <c r="BN24" s="55"/>
      <c r="BO24" s="55"/>
      <c r="BP24" s="51"/>
    </row>
    <row r="25" spans="1:68" ht="15" hidden="1" x14ac:dyDescent="0.25">
      <c r="A25" s="184" t="s">
        <v>135</v>
      </c>
      <c r="B25" s="189" t="str">
        <f>IF(ISNA(B$11),"",(B22*B$6*0.01))</f>
        <v/>
      </c>
      <c r="C25" s="189" t="str">
        <f t="shared" ref="C25:BC25" si="24">IF(ISNA(C$11),"",(C22*C$6*0.01))</f>
        <v/>
      </c>
      <c r="D25" s="189" t="str">
        <f t="shared" si="24"/>
        <v/>
      </c>
      <c r="E25" s="189" t="str">
        <f t="shared" si="24"/>
        <v/>
      </c>
      <c r="F25" s="189" t="str">
        <f t="shared" si="24"/>
        <v/>
      </c>
      <c r="G25" s="189" t="str">
        <f t="shared" si="24"/>
        <v/>
      </c>
      <c r="H25" s="189" t="str">
        <f t="shared" si="24"/>
        <v/>
      </c>
      <c r="I25" s="189" t="str">
        <f t="shared" si="24"/>
        <v/>
      </c>
      <c r="J25" s="189" t="str">
        <f t="shared" si="24"/>
        <v/>
      </c>
      <c r="K25" s="189" t="str">
        <f t="shared" si="24"/>
        <v/>
      </c>
      <c r="L25" s="189" t="str">
        <f>IF(ISNA(L$11),"",(L22*L$6*0.01))</f>
        <v/>
      </c>
      <c r="M25" s="189" t="str">
        <f t="shared" si="24"/>
        <v/>
      </c>
      <c r="N25" s="189" t="str">
        <f t="shared" si="24"/>
        <v/>
      </c>
      <c r="O25" s="189" t="str">
        <f t="shared" si="24"/>
        <v/>
      </c>
      <c r="P25" s="189" t="str">
        <f t="shared" si="24"/>
        <v/>
      </c>
      <c r="Q25" s="189" t="str">
        <f t="shared" si="24"/>
        <v/>
      </c>
      <c r="R25" s="189" t="str">
        <f t="shared" si="24"/>
        <v/>
      </c>
      <c r="S25" s="189" t="str">
        <f t="shared" si="24"/>
        <v/>
      </c>
      <c r="T25" s="189" t="str">
        <f t="shared" si="24"/>
        <v/>
      </c>
      <c r="U25" s="189" t="str">
        <f t="shared" si="24"/>
        <v/>
      </c>
      <c r="V25" s="189" t="str">
        <f t="shared" si="24"/>
        <v/>
      </c>
      <c r="W25" s="189" t="str">
        <f>IF(ISNA(W$11),"",(W22*W$6*0.01))</f>
        <v/>
      </c>
      <c r="X25" s="189" t="str">
        <f t="shared" si="24"/>
        <v/>
      </c>
      <c r="Y25" s="189" t="str">
        <f t="shared" si="24"/>
        <v/>
      </c>
      <c r="Z25" s="189" t="str">
        <f t="shared" si="24"/>
        <v/>
      </c>
      <c r="AA25" s="189" t="str">
        <f t="shared" si="24"/>
        <v/>
      </c>
      <c r="AB25" s="189" t="str">
        <f t="shared" si="24"/>
        <v/>
      </c>
      <c r="AC25" s="189" t="str">
        <f t="shared" si="24"/>
        <v/>
      </c>
      <c r="AD25" s="189" t="str">
        <f t="shared" si="24"/>
        <v/>
      </c>
      <c r="AE25" s="189" t="str">
        <f t="shared" si="24"/>
        <v/>
      </c>
      <c r="AF25" s="189" t="str">
        <f t="shared" si="24"/>
        <v/>
      </c>
      <c r="AG25" s="189" t="str">
        <f t="shared" si="24"/>
        <v/>
      </c>
      <c r="AH25" s="189" t="str">
        <f>IF(ISNA(AH$11),"",(AH22*AH$6*0.01))</f>
        <v/>
      </c>
      <c r="AI25" s="189" t="str">
        <f t="shared" si="24"/>
        <v/>
      </c>
      <c r="AJ25" s="189" t="str">
        <f t="shared" si="24"/>
        <v/>
      </c>
      <c r="AK25" s="189" t="str">
        <f t="shared" si="24"/>
        <v/>
      </c>
      <c r="AL25" s="189" t="str">
        <f t="shared" si="24"/>
        <v/>
      </c>
      <c r="AM25" s="189" t="str">
        <f t="shared" si="24"/>
        <v/>
      </c>
      <c r="AN25" s="189" t="str">
        <f t="shared" si="24"/>
        <v/>
      </c>
      <c r="AO25" s="189" t="str">
        <f t="shared" si="24"/>
        <v/>
      </c>
      <c r="AP25" s="189" t="str">
        <f t="shared" si="24"/>
        <v/>
      </c>
      <c r="AQ25" s="189" t="str">
        <f t="shared" si="24"/>
        <v/>
      </c>
      <c r="AR25" s="189" t="str">
        <f t="shared" si="24"/>
        <v/>
      </c>
      <c r="AS25" s="189" t="str">
        <f>IF(ISNA(AS$11),"",(AS22*AS$6*0.01))</f>
        <v/>
      </c>
      <c r="AT25" s="189">
        <f t="shared" si="24"/>
        <v>0</v>
      </c>
      <c r="AU25" s="189" t="str">
        <f t="shared" si="24"/>
        <v/>
      </c>
      <c r="AV25" s="189" t="str">
        <f t="shared" si="24"/>
        <v/>
      </c>
      <c r="AW25" s="189" t="str">
        <f t="shared" si="24"/>
        <v/>
      </c>
      <c r="AX25" s="189" t="str">
        <f t="shared" si="24"/>
        <v/>
      </c>
      <c r="AY25" s="189" t="str">
        <f t="shared" si="24"/>
        <v/>
      </c>
      <c r="AZ25" s="189" t="str">
        <f t="shared" si="24"/>
        <v/>
      </c>
      <c r="BA25" s="189" t="str">
        <f t="shared" si="24"/>
        <v/>
      </c>
      <c r="BB25" s="189" t="str">
        <f t="shared" si="24"/>
        <v/>
      </c>
      <c r="BC25" s="201" t="str">
        <f t="shared" si="24"/>
        <v/>
      </c>
      <c r="BD25" s="201" t="str">
        <f>IF(ISNA(BD$11),"",(BD22*BD$6*0.01))</f>
        <v/>
      </c>
      <c r="BE25" s="183">
        <f t="shared" si="19"/>
        <v>0</v>
      </c>
      <c r="BF25" s="207" t="e">
        <f t="shared" si="20"/>
        <v>#DIV/0!</v>
      </c>
      <c r="BG25" s="61"/>
      <c r="BH25" s="55"/>
      <c r="BI25" s="55"/>
      <c r="BJ25" s="55"/>
      <c r="BK25" s="55"/>
      <c r="BL25" s="55"/>
      <c r="BM25" s="55"/>
      <c r="BN25" s="55"/>
      <c r="BO25" s="55"/>
      <c r="BP25" s="51"/>
    </row>
    <row r="26" spans="1:68" ht="15" hidden="1" x14ac:dyDescent="0.25">
      <c r="A26" s="184" t="s">
        <v>136</v>
      </c>
      <c r="B26" s="189" t="str">
        <f>IF(ISNA(B$11),"",(B22*B$7*0.01))</f>
        <v/>
      </c>
      <c r="C26" s="189" t="str">
        <f t="shared" ref="C26:BC26" si="25">IF(ISNA(C$11),"",(C22*C$7*0.01))</f>
        <v/>
      </c>
      <c r="D26" s="189" t="str">
        <f t="shared" si="25"/>
        <v/>
      </c>
      <c r="E26" s="189" t="str">
        <f t="shared" si="25"/>
        <v/>
      </c>
      <c r="F26" s="189" t="str">
        <f t="shared" si="25"/>
        <v/>
      </c>
      <c r="G26" s="189" t="str">
        <f t="shared" si="25"/>
        <v/>
      </c>
      <c r="H26" s="189" t="str">
        <f t="shared" si="25"/>
        <v/>
      </c>
      <c r="I26" s="189" t="str">
        <f t="shared" si="25"/>
        <v/>
      </c>
      <c r="J26" s="189" t="str">
        <f t="shared" si="25"/>
        <v/>
      </c>
      <c r="K26" s="189" t="str">
        <f t="shared" si="25"/>
        <v/>
      </c>
      <c r="L26" s="189" t="str">
        <f>IF(ISNA(L$11),"",(L22*L$7*0.01))</f>
        <v/>
      </c>
      <c r="M26" s="189" t="str">
        <f t="shared" si="25"/>
        <v/>
      </c>
      <c r="N26" s="189" t="str">
        <f t="shared" si="25"/>
        <v/>
      </c>
      <c r="O26" s="189" t="str">
        <f t="shared" si="25"/>
        <v/>
      </c>
      <c r="P26" s="189" t="str">
        <f t="shared" si="25"/>
        <v/>
      </c>
      <c r="Q26" s="189" t="str">
        <f t="shared" si="25"/>
        <v/>
      </c>
      <c r="R26" s="189" t="str">
        <f t="shared" si="25"/>
        <v/>
      </c>
      <c r="S26" s="189" t="str">
        <f t="shared" si="25"/>
        <v/>
      </c>
      <c r="T26" s="189" t="str">
        <f t="shared" si="25"/>
        <v/>
      </c>
      <c r="U26" s="189" t="str">
        <f t="shared" si="25"/>
        <v/>
      </c>
      <c r="V26" s="189" t="str">
        <f t="shared" si="25"/>
        <v/>
      </c>
      <c r="W26" s="189" t="str">
        <f>IF(ISNA(W$11),"",(W22*W$7*0.01))</f>
        <v/>
      </c>
      <c r="X26" s="189" t="str">
        <f t="shared" si="25"/>
        <v/>
      </c>
      <c r="Y26" s="189" t="str">
        <f t="shared" si="25"/>
        <v/>
      </c>
      <c r="Z26" s="189" t="str">
        <f t="shared" si="25"/>
        <v/>
      </c>
      <c r="AA26" s="189" t="str">
        <f t="shared" si="25"/>
        <v/>
      </c>
      <c r="AB26" s="189" t="str">
        <f t="shared" si="25"/>
        <v/>
      </c>
      <c r="AC26" s="189" t="str">
        <f t="shared" si="25"/>
        <v/>
      </c>
      <c r="AD26" s="189" t="str">
        <f t="shared" si="25"/>
        <v/>
      </c>
      <c r="AE26" s="189" t="str">
        <f t="shared" si="25"/>
        <v/>
      </c>
      <c r="AF26" s="189" t="str">
        <f t="shared" si="25"/>
        <v/>
      </c>
      <c r="AG26" s="189" t="str">
        <f t="shared" si="25"/>
        <v/>
      </c>
      <c r="AH26" s="189" t="str">
        <f>IF(ISNA(AH$11),"",(AH22*AH$7*0.01))</f>
        <v/>
      </c>
      <c r="AI26" s="189" t="str">
        <f t="shared" si="25"/>
        <v/>
      </c>
      <c r="AJ26" s="189" t="str">
        <f t="shared" si="25"/>
        <v/>
      </c>
      <c r="AK26" s="189" t="str">
        <f t="shared" si="25"/>
        <v/>
      </c>
      <c r="AL26" s="189" t="str">
        <f t="shared" si="25"/>
        <v/>
      </c>
      <c r="AM26" s="189" t="str">
        <f t="shared" si="25"/>
        <v/>
      </c>
      <c r="AN26" s="189" t="str">
        <f t="shared" si="25"/>
        <v/>
      </c>
      <c r="AO26" s="189" t="str">
        <f t="shared" si="25"/>
        <v/>
      </c>
      <c r="AP26" s="189" t="str">
        <f t="shared" si="25"/>
        <v/>
      </c>
      <c r="AQ26" s="189" t="str">
        <f t="shared" si="25"/>
        <v/>
      </c>
      <c r="AR26" s="189" t="str">
        <f t="shared" si="25"/>
        <v/>
      </c>
      <c r="AS26" s="189" t="str">
        <f>IF(ISNA(AS$11),"",(AS22*AS$7*0.01))</f>
        <v/>
      </c>
      <c r="AT26" s="189">
        <f t="shared" si="25"/>
        <v>0</v>
      </c>
      <c r="AU26" s="189" t="str">
        <f t="shared" si="25"/>
        <v/>
      </c>
      <c r="AV26" s="189" t="str">
        <f t="shared" si="25"/>
        <v/>
      </c>
      <c r="AW26" s="189" t="str">
        <f t="shared" si="25"/>
        <v/>
      </c>
      <c r="AX26" s="189" t="str">
        <f t="shared" si="25"/>
        <v/>
      </c>
      <c r="AY26" s="189" t="str">
        <f t="shared" si="25"/>
        <v/>
      </c>
      <c r="AZ26" s="189" t="str">
        <f t="shared" si="25"/>
        <v/>
      </c>
      <c r="BA26" s="189" t="str">
        <f t="shared" si="25"/>
        <v/>
      </c>
      <c r="BB26" s="189" t="str">
        <f t="shared" si="25"/>
        <v/>
      </c>
      <c r="BC26" s="201" t="str">
        <f t="shared" si="25"/>
        <v/>
      </c>
      <c r="BD26" s="201" t="str">
        <f>IF(ISNA(BD$11),"",(BD22*BD$7*0.01))</f>
        <v/>
      </c>
      <c r="BE26" s="183">
        <f t="shared" si="19"/>
        <v>0</v>
      </c>
      <c r="BF26" s="207" t="e">
        <f t="shared" si="20"/>
        <v>#DIV/0!</v>
      </c>
      <c r="BG26" s="61"/>
      <c r="BH26" s="55"/>
      <c r="BI26" s="55"/>
      <c r="BJ26" s="55"/>
      <c r="BK26" s="55"/>
      <c r="BL26" s="55"/>
      <c r="BM26" s="55"/>
      <c r="BN26" s="55"/>
      <c r="BO26" s="55"/>
      <c r="BP26" s="51"/>
    </row>
    <row r="27" spans="1:68" ht="15" hidden="1" x14ac:dyDescent="0.25">
      <c r="A27" s="211" t="s">
        <v>534</v>
      </c>
      <c r="B27" s="212"/>
      <c r="C27" s="212"/>
      <c r="D27" s="212"/>
      <c r="E27" s="212"/>
      <c r="F27" s="212"/>
      <c r="G27" s="212"/>
      <c r="H27" s="212"/>
      <c r="I27" s="212"/>
      <c r="J27" s="212"/>
      <c r="K27" s="212"/>
      <c r="L27" s="212"/>
      <c r="M27" s="212"/>
      <c r="N27" s="212"/>
      <c r="O27" s="212"/>
      <c r="P27" s="212"/>
      <c r="Q27" s="212"/>
      <c r="R27" s="212"/>
      <c r="S27" s="212"/>
      <c r="T27" s="212"/>
      <c r="U27" s="212"/>
      <c r="V27" s="212"/>
      <c r="W27" s="212"/>
      <c r="X27" s="212"/>
      <c r="Y27" s="212"/>
      <c r="Z27" s="212"/>
      <c r="AA27" s="212"/>
      <c r="AB27" s="212"/>
      <c r="AC27" s="212"/>
      <c r="AD27" s="212"/>
      <c r="AE27" s="212"/>
      <c r="AF27" s="212"/>
      <c r="AG27" s="212"/>
      <c r="AH27" s="212"/>
      <c r="AI27" s="212"/>
      <c r="AJ27" s="212"/>
      <c r="AK27" s="212"/>
      <c r="AL27" s="212"/>
      <c r="AM27" s="212"/>
      <c r="AN27" s="212"/>
      <c r="AO27" s="213"/>
      <c r="AP27" s="213"/>
      <c r="AQ27" s="213"/>
      <c r="AR27" s="213"/>
      <c r="AS27" s="213"/>
      <c r="AT27" s="213"/>
      <c r="AU27" s="213"/>
      <c r="AV27" s="213"/>
      <c r="AW27" s="213"/>
      <c r="AX27" s="213"/>
      <c r="AY27" s="213"/>
      <c r="AZ27" s="213"/>
      <c r="BA27" s="213"/>
      <c r="BB27" s="213"/>
      <c r="BC27" s="214"/>
      <c r="BD27" s="214"/>
      <c r="BE27" s="214"/>
      <c r="BF27" s="214"/>
      <c r="BG27" s="61"/>
      <c r="BH27" s="123"/>
      <c r="BI27" s="123"/>
      <c r="BJ27" s="123"/>
      <c r="BK27" s="55"/>
      <c r="BL27" s="55"/>
      <c r="BM27" s="55"/>
      <c r="BN27" s="123"/>
      <c r="BO27" s="55"/>
      <c r="BP27" s="51"/>
    </row>
    <row r="28" spans="1:68" s="678" customFormat="1" ht="15" hidden="1" x14ac:dyDescent="0.25">
      <c r="A28" s="184"/>
      <c r="B28" s="673" t="str">
        <f>B19</f>
        <v>Wheat</v>
      </c>
      <c r="C28" s="673" t="str">
        <f t="shared" ref="C28:AN28" si="26">C19</f>
        <v>Triticale</v>
      </c>
      <c r="D28" s="673" t="str">
        <f t="shared" si="26"/>
        <v>Sorghum</v>
      </c>
      <c r="E28" s="673" t="str">
        <f t="shared" si="26"/>
        <v>Maize</v>
      </c>
      <c r="F28" s="673" t="str">
        <f t="shared" si="26"/>
        <v>Barley</v>
      </c>
      <c r="G28" s="673" t="str">
        <f t="shared" si="26"/>
        <v>Oats</v>
      </c>
      <c r="H28" s="673" t="str">
        <f t="shared" si="26"/>
        <v>Lupins</v>
      </c>
      <c r="I28" s="673" t="str">
        <f t="shared" si="26"/>
        <v>Peas</v>
      </c>
      <c r="J28" s="673" t="str">
        <f t="shared" si="26"/>
        <v>Faba Beans</v>
      </c>
      <c r="K28" s="673" t="str">
        <f t="shared" si="26"/>
        <v>Brewers grains (dry)</v>
      </c>
      <c r="L28" s="673" t="str">
        <f>L19</f>
        <v>Cottonseed(w)</v>
      </c>
      <c r="M28" s="673" t="str">
        <f t="shared" si="26"/>
        <v>Canola</v>
      </c>
      <c r="N28" s="673" t="str">
        <f t="shared" si="26"/>
        <v>Copra</v>
      </c>
      <c r="O28" s="673" t="str">
        <f t="shared" si="26"/>
        <v>Corn Gluten</v>
      </c>
      <c r="P28" s="673" t="str">
        <f t="shared" si="26"/>
        <v>Cottonseed</v>
      </c>
      <c r="Q28" s="673" t="str">
        <f t="shared" si="26"/>
        <v>Safflower</v>
      </c>
      <c r="R28" s="673" t="str">
        <f t="shared" si="26"/>
        <v>Soyabean</v>
      </c>
      <c r="S28" s="673" t="str">
        <f t="shared" si="26"/>
        <v>Sunflower</v>
      </c>
      <c r="T28" s="673">
        <f t="shared" si="26"/>
        <v>0</v>
      </c>
      <c r="U28" s="673">
        <f t="shared" si="26"/>
        <v>0</v>
      </c>
      <c r="V28" s="673">
        <f t="shared" si="26"/>
        <v>0</v>
      </c>
      <c r="W28" s="673">
        <f>W19</f>
        <v>0</v>
      </c>
      <c r="X28" s="673" t="str">
        <f t="shared" si="26"/>
        <v>Pasture Hay</v>
      </c>
      <c r="Y28" s="673" t="str">
        <f t="shared" si="26"/>
        <v>Cereal hay 1</v>
      </c>
      <c r="Z28" s="673" t="str">
        <f t="shared" si="26"/>
        <v>Cereal hay 2</v>
      </c>
      <c r="AA28" s="673" t="str">
        <f t="shared" si="26"/>
        <v>Lucerne Hay</v>
      </c>
      <c r="AB28" s="673" t="str">
        <f t="shared" si="26"/>
        <v>Pasture Hay</v>
      </c>
      <c r="AC28" s="673">
        <f t="shared" si="26"/>
        <v>0</v>
      </c>
      <c r="AD28" s="673" t="str">
        <f t="shared" si="26"/>
        <v>Cereal Silage</v>
      </c>
      <c r="AE28" s="673" t="str">
        <f t="shared" si="26"/>
        <v>Pasture Silage</v>
      </c>
      <c r="AF28" s="673" t="str">
        <f t="shared" si="26"/>
        <v>Lucerne Silage</v>
      </c>
      <c r="AG28" s="673" t="str">
        <f t="shared" si="26"/>
        <v>Maize Silage</v>
      </c>
      <c r="AH28" s="673" t="str">
        <f>AH19</f>
        <v>Sorghum Silage</v>
      </c>
      <c r="AI28" s="673" t="str">
        <f t="shared" si="26"/>
        <v>Bentonite</v>
      </c>
      <c r="AJ28" s="673" t="str">
        <f t="shared" si="26"/>
        <v>Bicarb</v>
      </c>
      <c r="AK28" s="673" t="str">
        <f t="shared" si="26"/>
        <v>Lime</v>
      </c>
      <c r="AL28" s="673" t="str">
        <f t="shared" si="26"/>
        <v>Salt</v>
      </c>
      <c r="AM28" s="673" t="str">
        <f t="shared" si="26"/>
        <v>Urea</v>
      </c>
      <c r="AN28" s="673" t="str">
        <f t="shared" si="26"/>
        <v>Premix</v>
      </c>
      <c r="AO28" s="673" t="str">
        <f t="shared" ref="AO28:BC28" si="27">AO19</f>
        <v>Molasses</v>
      </c>
      <c r="AP28" s="673" t="str">
        <f t="shared" si="27"/>
        <v>Acid Buff</v>
      </c>
      <c r="AQ28" s="673" t="str">
        <f t="shared" si="27"/>
        <v>Causmag</v>
      </c>
      <c r="AR28" s="673">
        <f t="shared" si="27"/>
        <v>0</v>
      </c>
      <c r="AS28" s="673">
        <f>AS19</f>
        <v>0</v>
      </c>
      <c r="AT28" s="673" t="str">
        <f t="shared" si="27"/>
        <v>Pellet/Mix</v>
      </c>
      <c r="AU28" s="673" t="str">
        <f t="shared" si="27"/>
        <v>Carrots</v>
      </c>
      <c r="AV28" s="673" t="str">
        <f t="shared" si="27"/>
        <v>Pellets</v>
      </c>
      <c r="AW28" s="673">
        <f t="shared" si="27"/>
        <v>0</v>
      </c>
      <c r="AX28" s="673">
        <f t="shared" si="27"/>
        <v>0</v>
      </c>
      <c r="AY28" s="673">
        <f t="shared" si="27"/>
        <v>0</v>
      </c>
      <c r="AZ28" s="673">
        <f t="shared" si="27"/>
        <v>0</v>
      </c>
      <c r="BA28" s="673">
        <f t="shared" si="27"/>
        <v>0</v>
      </c>
      <c r="BB28" s="673">
        <f t="shared" si="27"/>
        <v>0</v>
      </c>
      <c r="BC28" s="674">
        <f t="shared" si="27"/>
        <v>0</v>
      </c>
      <c r="BD28" s="674">
        <f>BD19</f>
        <v>0</v>
      </c>
      <c r="BE28" s="410"/>
      <c r="BF28" s="183"/>
      <c r="BG28" s="675" t="s">
        <v>3</v>
      </c>
      <c r="BH28" s="190">
        <f>Rations!C28</f>
        <v>0</v>
      </c>
      <c r="BI28" s="190">
        <f>Rations!D28</f>
        <v>0</v>
      </c>
      <c r="BJ28" s="190">
        <f>Rations!E28</f>
        <v>100</v>
      </c>
      <c r="BK28" s="676" t="s">
        <v>92</v>
      </c>
      <c r="BL28" s="676"/>
      <c r="BM28" s="676"/>
      <c r="BN28" s="676"/>
      <c r="BO28" s="676"/>
      <c r="BP28" s="677"/>
    </row>
    <row r="29" spans="1:68" ht="15" hidden="1" x14ac:dyDescent="0.25">
      <c r="A29" s="182" t="s">
        <v>188</v>
      </c>
      <c r="B29" s="159" t="e">
        <f>VLOOKUP(B$1,Rations!$B$5:$H$27,4,FALSE)</f>
        <v>#N/A</v>
      </c>
      <c r="C29" s="159" t="e">
        <f>VLOOKUP(C$1,Rations!$B$5:$H$27,4,FALSE)</f>
        <v>#N/A</v>
      </c>
      <c r="D29" s="159" t="e">
        <f>VLOOKUP(D$1,Rations!$B$5:$H$27,4,FALSE)</f>
        <v>#N/A</v>
      </c>
      <c r="E29" s="159" t="e">
        <f>VLOOKUP(E$1,Rations!$B$5:$H$27,4,FALSE)</f>
        <v>#N/A</v>
      </c>
      <c r="F29" s="159" t="e">
        <f>VLOOKUP(F$1,Rations!$B$5:$H$27,4,FALSE)</f>
        <v>#N/A</v>
      </c>
      <c r="G29" s="159" t="e">
        <f>VLOOKUP(G$1,Rations!$B$5:$H$27,4,FALSE)</f>
        <v>#N/A</v>
      </c>
      <c r="H29" s="159" t="e">
        <f>VLOOKUP(H$1,Rations!$B$5:$H$27,4,FALSE)</f>
        <v>#N/A</v>
      </c>
      <c r="I29" s="159" t="e">
        <f>VLOOKUP(I$1,Rations!$B$5:$H$27,4,FALSE)</f>
        <v>#N/A</v>
      </c>
      <c r="J29" s="159" t="e">
        <f>VLOOKUP(J$1,Rations!$B$5:$H$27,4,FALSE)</f>
        <v>#N/A</v>
      </c>
      <c r="K29" s="159" t="e">
        <f>VLOOKUP(K$1,Rations!$B$5:$H$27,4,FALSE)</f>
        <v>#N/A</v>
      </c>
      <c r="L29" s="159" t="e">
        <f>VLOOKUP(L$1,Rations!$B$5:$H$27,4,FALSE)</f>
        <v>#N/A</v>
      </c>
      <c r="M29" s="159" t="e">
        <f>VLOOKUP(M$1,Rations!$B$5:$H$27,4,FALSE)</f>
        <v>#N/A</v>
      </c>
      <c r="N29" s="159" t="e">
        <f>VLOOKUP(N$1,Rations!$B$5:$H$27,4,FALSE)</f>
        <v>#N/A</v>
      </c>
      <c r="O29" s="159" t="e">
        <f>VLOOKUP(O$1,Rations!$B$5:$H$27,4,FALSE)</f>
        <v>#N/A</v>
      </c>
      <c r="P29" s="159" t="e">
        <f>VLOOKUP(P$1,Rations!$B$5:$H$27,4,FALSE)</f>
        <v>#N/A</v>
      </c>
      <c r="Q29" s="159" t="e">
        <f>VLOOKUP(Q$1,Rations!$B$5:$H$27,4,FALSE)</f>
        <v>#N/A</v>
      </c>
      <c r="R29" s="159" t="e">
        <f>VLOOKUP(R$1,Rations!$B$5:$H$27,4,FALSE)</f>
        <v>#N/A</v>
      </c>
      <c r="S29" s="159" t="e">
        <f>VLOOKUP(S$1,Rations!$B$5:$H$27,4,FALSE)</f>
        <v>#N/A</v>
      </c>
      <c r="T29" s="159" t="e">
        <f>VLOOKUP(T$1,Rations!$B$5:$H$27,4,FALSE)</f>
        <v>#N/A</v>
      </c>
      <c r="U29" s="159" t="e">
        <f>VLOOKUP(U$1,Rations!$B$5:$H$27,4,FALSE)</f>
        <v>#N/A</v>
      </c>
      <c r="V29" s="159" t="e">
        <f>VLOOKUP(V$1,Rations!$B$5:$H$27,4,FALSE)</f>
        <v>#N/A</v>
      </c>
      <c r="W29" s="159" t="e">
        <f>VLOOKUP(W$1,Rations!$B$5:$H$27,4,FALSE)</f>
        <v>#N/A</v>
      </c>
      <c r="X29" s="159" t="e">
        <f>VLOOKUP(X$1,Rations!$B$5:$H$27,4,FALSE)</f>
        <v>#N/A</v>
      </c>
      <c r="Y29" s="159" t="e">
        <f>VLOOKUP(Y$1,Rations!$B$5:$H$27,4,FALSE)</f>
        <v>#N/A</v>
      </c>
      <c r="Z29" s="159" t="e">
        <f>VLOOKUP(Z$1,Rations!$B$5:$H$27,4,FALSE)</f>
        <v>#N/A</v>
      </c>
      <c r="AA29" s="159" t="e">
        <f>VLOOKUP(AA$1,Rations!$B$5:$H$27,4,FALSE)</f>
        <v>#N/A</v>
      </c>
      <c r="AB29" s="159" t="e">
        <f>VLOOKUP(AB$1,Rations!$B$5:$H$27,4,FALSE)</f>
        <v>#N/A</v>
      </c>
      <c r="AC29" s="159" t="e">
        <f>VLOOKUP(AC$1,Rations!$B$5:$H$27,4,FALSE)</f>
        <v>#N/A</v>
      </c>
      <c r="AD29" s="159" t="e">
        <f>VLOOKUP(AD$1,Rations!$B$5:$H$27,4,FALSE)</f>
        <v>#N/A</v>
      </c>
      <c r="AE29" s="159" t="e">
        <f>VLOOKUP(AE$1,Rations!$B$5:$H$27,4,FALSE)</f>
        <v>#N/A</v>
      </c>
      <c r="AF29" s="159" t="e">
        <f>VLOOKUP(AF$1,Rations!$B$5:$H$27,4,FALSE)</f>
        <v>#N/A</v>
      </c>
      <c r="AG29" s="159" t="e">
        <f>VLOOKUP(AG$1,Rations!$B$5:$H$27,4,FALSE)</f>
        <v>#N/A</v>
      </c>
      <c r="AH29" s="159" t="e">
        <f>VLOOKUP(AH$1,Rations!$B$5:$H$27,4,FALSE)</f>
        <v>#N/A</v>
      </c>
      <c r="AI29" s="159" t="e">
        <f>VLOOKUP(AI$1,Rations!$B$5:$H$27,4,FALSE)</f>
        <v>#N/A</v>
      </c>
      <c r="AJ29" s="159" t="e">
        <f>VLOOKUP(AJ$1,Rations!$B$5:$H$27,4,FALSE)</f>
        <v>#N/A</v>
      </c>
      <c r="AK29" s="159" t="e">
        <f>VLOOKUP(AK$1,Rations!$B$5:$H$27,4,FALSE)</f>
        <v>#N/A</v>
      </c>
      <c r="AL29" s="159" t="e">
        <f>VLOOKUP(AL$1,Rations!$B$5:$H$27,4,FALSE)</f>
        <v>#N/A</v>
      </c>
      <c r="AM29" s="159" t="e">
        <f>VLOOKUP(AM$1,Rations!$B$5:$H$27,4,FALSE)</f>
        <v>#N/A</v>
      </c>
      <c r="AN29" s="159" t="e">
        <f>VLOOKUP(AN$1,Rations!$B$5:$H$27,4,FALSE)</f>
        <v>#N/A</v>
      </c>
      <c r="AO29" s="159" t="e">
        <f>VLOOKUP(AO$1,Rations!$B$5:$H$27,4,FALSE)</f>
        <v>#N/A</v>
      </c>
      <c r="AP29" s="159" t="e">
        <f>VLOOKUP(AP$1,Rations!$B$5:$H$27,4,FALSE)</f>
        <v>#N/A</v>
      </c>
      <c r="AQ29" s="159" t="e">
        <f>VLOOKUP(AQ$1,Rations!$B$5:$H$27,4,FALSE)</f>
        <v>#N/A</v>
      </c>
      <c r="AR29" s="159" t="e">
        <f>VLOOKUP(AR$1,Rations!$B$5:$H$27,4,FALSE)</f>
        <v>#N/A</v>
      </c>
      <c r="AS29" s="159" t="e">
        <f>VLOOKUP(AS$1,Rations!$B$5:$H$27,4,FALSE)</f>
        <v>#N/A</v>
      </c>
      <c r="AT29" s="159">
        <f>VLOOKUP(AT$1,Rations!$B$5:$H$27,4,FALSE)</f>
        <v>100</v>
      </c>
      <c r="AU29" s="159" t="e">
        <f>VLOOKUP(AU$1,Rations!$B$5:$H$27,4,FALSE)</f>
        <v>#N/A</v>
      </c>
      <c r="AV29" s="159" t="e">
        <f>VLOOKUP(AV$1,Rations!$B$5:$H$27,4,FALSE)</f>
        <v>#N/A</v>
      </c>
      <c r="AW29" s="159" t="e">
        <f>VLOOKUP(AW$1,Rations!$B$5:$H$27,4,FALSE)</f>
        <v>#N/A</v>
      </c>
      <c r="AX29" s="159" t="e">
        <f>VLOOKUP(AX$1,Rations!$B$5:$H$27,4,FALSE)</f>
        <v>#N/A</v>
      </c>
      <c r="AY29" s="159" t="e">
        <f>VLOOKUP(AY$1,Rations!$B$5:$H$27,4,FALSE)</f>
        <v>#N/A</v>
      </c>
      <c r="AZ29" s="159" t="e">
        <f>VLOOKUP(AZ$1,Rations!$B$5:$H$27,4,FALSE)</f>
        <v>#N/A</v>
      </c>
      <c r="BA29" s="159" t="e">
        <f>VLOOKUP(BA$1,Rations!$B$5:$H$27,4,FALSE)</f>
        <v>#N/A</v>
      </c>
      <c r="BB29" s="159" t="e">
        <f>VLOOKUP(BB$1,Rations!$B$5:$H$27,4,FALSE)</f>
        <v>#N/A</v>
      </c>
      <c r="BC29" s="202" t="e">
        <f>VLOOKUP(BC$1,Rations!$B$5:$H$27,4,FALSE)</f>
        <v>#N/A</v>
      </c>
      <c r="BD29" s="202" t="e">
        <f>VLOOKUP(BD$1,Rations!$B$5:$H$27,4,FALSE)</f>
        <v>#N/A</v>
      </c>
      <c r="BE29" s="189"/>
      <c r="BF29" s="183"/>
      <c r="BG29" s="193" t="s">
        <v>411</v>
      </c>
      <c r="BH29" s="159">
        <f>Rations!C29</f>
        <v>0</v>
      </c>
      <c r="BI29" s="159">
        <f>IF(BH30=0,0,Rations!D29)</f>
        <v>0</v>
      </c>
      <c r="BJ29" s="159">
        <f>Rations!E29</f>
        <v>42.857142857142854</v>
      </c>
      <c r="BK29" s="159">
        <f>SUM(BH29:BJ29)</f>
        <v>42.857142857142854</v>
      </c>
      <c r="BL29" s="55"/>
      <c r="BM29" s="55"/>
      <c r="BP29" s="51"/>
    </row>
    <row r="30" spans="1:68" ht="15" hidden="1" x14ac:dyDescent="0.25">
      <c r="A30" s="189" t="s">
        <v>154</v>
      </c>
      <c r="B30" s="185" t="str">
        <f t="shared" ref="B30:AJ30" si="28">IF(ISNA(B$11),"",(B29*B$2*0.01))</f>
        <v/>
      </c>
      <c r="C30" s="185" t="str">
        <f t="shared" si="28"/>
        <v/>
      </c>
      <c r="D30" s="185" t="str">
        <f t="shared" si="28"/>
        <v/>
      </c>
      <c r="E30" s="185" t="str">
        <f t="shared" si="28"/>
        <v/>
      </c>
      <c r="F30" s="185" t="str">
        <f t="shared" si="28"/>
        <v/>
      </c>
      <c r="G30" s="185" t="str">
        <f t="shared" si="28"/>
        <v/>
      </c>
      <c r="H30" s="185" t="str">
        <f t="shared" si="28"/>
        <v/>
      </c>
      <c r="I30" s="185" t="str">
        <f t="shared" si="28"/>
        <v/>
      </c>
      <c r="J30" s="185" t="str">
        <f t="shared" si="28"/>
        <v/>
      </c>
      <c r="K30" s="185" t="str">
        <f t="shared" si="28"/>
        <v/>
      </c>
      <c r="L30" s="185" t="str">
        <f t="shared" si="28"/>
        <v/>
      </c>
      <c r="M30" s="185" t="str">
        <f t="shared" si="28"/>
        <v/>
      </c>
      <c r="N30" s="185" t="str">
        <f t="shared" si="28"/>
        <v/>
      </c>
      <c r="O30" s="185" t="str">
        <f t="shared" si="28"/>
        <v/>
      </c>
      <c r="P30" s="185" t="str">
        <f t="shared" si="28"/>
        <v/>
      </c>
      <c r="Q30" s="185" t="str">
        <f t="shared" si="28"/>
        <v/>
      </c>
      <c r="R30" s="185" t="str">
        <f t="shared" si="28"/>
        <v/>
      </c>
      <c r="S30" s="185" t="str">
        <f t="shared" si="28"/>
        <v/>
      </c>
      <c r="T30" s="185" t="str">
        <f t="shared" si="28"/>
        <v/>
      </c>
      <c r="U30" s="185" t="str">
        <f t="shared" si="28"/>
        <v/>
      </c>
      <c r="V30" s="185" t="str">
        <f t="shared" si="28"/>
        <v/>
      </c>
      <c r="W30" s="185" t="str">
        <f t="shared" si="28"/>
        <v/>
      </c>
      <c r="X30" s="185" t="str">
        <f t="shared" si="28"/>
        <v/>
      </c>
      <c r="Y30" s="185" t="str">
        <f t="shared" si="28"/>
        <v/>
      </c>
      <c r="Z30" s="185" t="str">
        <f t="shared" si="28"/>
        <v/>
      </c>
      <c r="AA30" s="185" t="str">
        <f t="shared" si="28"/>
        <v/>
      </c>
      <c r="AB30" s="185" t="str">
        <f t="shared" si="28"/>
        <v/>
      </c>
      <c r="AC30" s="185" t="str">
        <f t="shared" si="28"/>
        <v/>
      </c>
      <c r="AD30" s="185" t="str">
        <f t="shared" si="28"/>
        <v/>
      </c>
      <c r="AE30" s="185" t="str">
        <f t="shared" si="28"/>
        <v/>
      </c>
      <c r="AF30" s="185" t="str">
        <f t="shared" si="28"/>
        <v/>
      </c>
      <c r="AG30" s="185" t="str">
        <f t="shared" si="28"/>
        <v/>
      </c>
      <c r="AH30" s="185" t="str">
        <f t="shared" si="28"/>
        <v/>
      </c>
      <c r="AI30" s="185" t="str">
        <f t="shared" si="28"/>
        <v/>
      </c>
      <c r="AJ30" s="185" t="str">
        <f t="shared" si="28"/>
        <v/>
      </c>
      <c r="AK30" s="185" t="str">
        <f t="shared" ref="AK30:BD30" si="29">IF(ISNA(AK$11),"",(AK29*AK$2*0.01))</f>
        <v/>
      </c>
      <c r="AL30" s="185" t="str">
        <f t="shared" si="29"/>
        <v/>
      </c>
      <c r="AM30" s="185" t="str">
        <f t="shared" si="29"/>
        <v/>
      </c>
      <c r="AN30" s="185" t="str">
        <f t="shared" si="29"/>
        <v/>
      </c>
      <c r="AO30" s="185" t="str">
        <f t="shared" si="29"/>
        <v/>
      </c>
      <c r="AP30" s="185" t="str">
        <f t="shared" si="29"/>
        <v/>
      </c>
      <c r="AQ30" s="185" t="str">
        <f t="shared" si="29"/>
        <v/>
      </c>
      <c r="AR30" s="185" t="str">
        <f t="shared" si="29"/>
        <v/>
      </c>
      <c r="AS30" s="185" t="str">
        <f t="shared" si="29"/>
        <v/>
      </c>
      <c r="AT30" s="185">
        <f t="shared" si="29"/>
        <v>280</v>
      </c>
      <c r="AU30" s="185" t="str">
        <f t="shared" si="29"/>
        <v/>
      </c>
      <c r="AV30" s="185" t="str">
        <f t="shared" si="29"/>
        <v/>
      </c>
      <c r="AW30" s="185" t="str">
        <f t="shared" si="29"/>
        <v/>
      </c>
      <c r="AX30" s="185" t="str">
        <f t="shared" si="29"/>
        <v/>
      </c>
      <c r="AY30" s="185" t="str">
        <f t="shared" si="29"/>
        <v/>
      </c>
      <c r="AZ30" s="185" t="str">
        <f t="shared" si="29"/>
        <v/>
      </c>
      <c r="BA30" s="185" t="str">
        <f t="shared" si="29"/>
        <v/>
      </c>
      <c r="BB30" s="185" t="str">
        <f t="shared" si="29"/>
        <v/>
      </c>
      <c r="BC30" s="196" t="str">
        <f t="shared" si="29"/>
        <v/>
      </c>
      <c r="BD30" s="196" t="str">
        <f t="shared" si="29"/>
        <v/>
      </c>
      <c r="BE30" s="183">
        <f t="shared" ref="BE30:BE35" si="30">SUM(B30:BD30)</f>
        <v>280</v>
      </c>
      <c r="BF30" s="207">
        <f t="shared" ref="BF30:BF35" si="31">BE30*100/$BE$31</f>
        <v>311.11111111111109</v>
      </c>
      <c r="BG30" s="193" t="s">
        <v>412</v>
      </c>
      <c r="BH30" s="159">
        <f>BH28*BH29</f>
        <v>0</v>
      </c>
      <c r="BI30" s="159">
        <f>BI28*BI29</f>
        <v>0</v>
      </c>
      <c r="BJ30" s="159"/>
      <c r="BK30" s="55"/>
      <c r="BL30" s="55"/>
      <c r="BM30" s="55"/>
      <c r="BN30" s="55"/>
      <c r="BO30" s="55"/>
      <c r="BP30" s="51"/>
    </row>
    <row r="31" spans="1:68" ht="15" hidden="1" x14ac:dyDescent="0.25">
      <c r="A31" s="184" t="s">
        <v>189</v>
      </c>
      <c r="B31" s="183" t="str">
        <f t="shared" ref="B31:BC31" si="32">IF(ISNA(B$11),"",(B29*B$5*0.01))</f>
        <v/>
      </c>
      <c r="C31" s="183" t="str">
        <f t="shared" si="32"/>
        <v/>
      </c>
      <c r="D31" s="183" t="str">
        <f t="shared" si="32"/>
        <v/>
      </c>
      <c r="E31" s="183" t="str">
        <f t="shared" si="32"/>
        <v/>
      </c>
      <c r="F31" s="183" t="str">
        <f t="shared" si="32"/>
        <v/>
      </c>
      <c r="G31" s="183" t="str">
        <f t="shared" si="32"/>
        <v/>
      </c>
      <c r="H31" s="183" t="str">
        <f t="shared" si="32"/>
        <v/>
      </c>
      <c r="I31" s="183" t="str">
        <f t="shared" si="32"/>
        <v/>
      </c>
      <c r="J31" s="183" t="str">
        <f t="shared" si="32"/>
        <v/>
      </c>
      <c r="K31" s="183" t="str">
        <f t="shared" si="32"/>
        <v/>
      </c>
      <c r="L31" s="183" t="str">
        <f>IF(ISNA(L$11),"",(L29*L$5*0.01))</f>
        <v/>
      </c>
      <c r="M31" s="183" t="str">
        <f t="shared" si="32"/>
        <v/>
      </c>
      <c r="N31" s="183" t="str">
        <f t="shared" si="32"/>
        <v/>
      </c>
      <c r="O31" s="183" t="str">
        <f t="shared" si="32"/>
        <v/>
      </c>
      <c r="P31" s="183" t="str">
        <f t="shared" si="32"/>
        <v/>
      </c>
      <c r="Q31" s="183" t="str">
        <f t="shared" si="32"/>
        <v/>
      </c>
      <c r="R31" s="183" t="str">
        <f t="shared" si="32"/>
        <v/>
      </c>
      <c r="S31" s="183" t="str">
        <f t="shared" si="32"/>
        <v/>
      </c>
      <c r="T31" s="183" t="str">
        <f t="shared" si="32"/>
        <v/>
      </c>
      <c r="U31" s="183" t="str">
        <f t="shared" si="32"/>
        <v/>
      </c>
      <c r="V31" s="183" t="str">
        <f t="shared" si="32"/>
        <v/>
      </c>
      <c r="W31" s="183" t="str">
        <f>IF(ISNA(W$11),"",(W29*W$5*0.01))</f>
        <v/>
      </c>
      <c r="X31" s="183" t="str">
        <f t="shared" si="32"/>
        <v/>
      </c>
      <c r="Y31" s="183" t="str">
        <f t="shared" si="32"/>
        <v/>
      </c>
      <c r="Z31" s="183" t="str">
        <f t="shared" si="32"/>
        <v/>
      </c>
      <c r="AA31" s="183" t="str">
        <f t="shared" si="32"/>
        <v/>
      </c>
      <c r="AB31" s="183" t="str">
        <f t="shared" si="32"/>
        <v/>
      </c>
      <c r="AC31" s="183" t="str">
        <f t="shared" si="32"/>
        <v/>
      </c>
      <c r="AD31" s="183" t="str">
        <f t="shared" si="32"/>
        <v/>
      </c>
      <c r="AE31" s="183" t="str">
        <f t="shared" si="32"/>
        <v/>
      </c>
      <c r="AF31" s="183" t="str">
        <f t="shared" si="32"/>
        <v/>
      </c>
      <c r="AG31" s="183" t="str">
        <f t="shared" si="32"/>
        <v/>
      </c>
      <c r="AH31" s="183" t="str">
        <f>IF(ISNA(AH$11),"",(AH29*AH$5*0.01))</f>
        <v/>
      </c>
      <c r="AI31" s="183" t="str">
        <f t="shared" si="32"/>
        <v/>
      </c>
      <c r="AJ31" s="183" t="str">
        <f t="shared" si="32"/>
        <v/>
      </c>
      <c r="AK31" s="183" t="str">
        <f t="shared" si="32"/>
        <v/>
      </c>
      <c r="AL31" s="183" t="str">
        <f t="shared" si="32"/>
        <v/>
      </c>
      <c r="AM31" s="183" t="str">
        <f t="shared" si="32"/>
        <v/>
      </c>
      <c r="AN31" s="183" t="str">
        <f t="shared" si="32"/>
        <v/>
      </c>
      <c r="AO31" s="183" t="str">
        <f t="shared" si="32"/>
        <v/>
      </c>
      <c r="AP31" s="183" t="str">
        <f t="shared" si="32"/>
        <v/>
      </c>
      <c r="AQ31" s="183" t="str">
        <f t="shared" si="32"/>
        <v/>
      </c>
      <c r="AR31" s="183" t="str">
        <f t="shared" si="32"/>
        <v/>
      </c>
      <c r="AS31" s="183" t="str">
        <f>IF(ISNA(AS$11),"",(AS29*AS$5*0.01))</f>
        <v/>
      </c>
      <c r="AT31" s="183">
        <f t="shared" si="32"/>
        <v>90</v>
      </c>
      <c r="AU31" s="183" t="str">
        <f t="shared" si="32"/>
        <v/>
      </c>
      <c r="AV31" s="183" t="str">
        <f t="shared" si="32"/>
        <v/>
      </c>
      <c r="AW31" s="183" t="str">
        <f t="shared" si="32"/>
        <v/>
      </c>
      <c r="AX31" s="183" t="str">
        <f t="shared" si="32"/>
        <v/>
      </c>
      <c r="AY31" s="183" t="str">
        <f t="shared" si="32"/>
        <v/>
      </c>
      <c r="AZ31" s="183" t="str">
        <f t="shared" si="32"/>
        <v/>
      </c>
      <c r="BA31" s="183" t="str">
        <f t="shared" si="32"/>
        <v/>
      </c>
      <c r="BB31" s="183" t="str">
        <f t="shared" si="32"/>
        <v/>
      </c>
      <c r="BC31" s="200" t="str">
        <f t="shared" si="32"/>
        <v/>
      </c>
      <c r="BD31" s="200" t="str">
        <f>IF(ISNA(BD$11),"",(BD29*BD$5*0.01))</f>
        <v/>
      </c>
      <c r="BE31" s="183">
        <f t="shared" si="30"/>
        <v>90</v>
      </c>
      <c r="BF31" s="207">
        <f t="shared" si="31"/>
        <v>100</v>
      </c>
      <c r="BG31" s="193" t="s">
        <v>415</v>
      </c>
      <c r="BH31" s="189">
        <f>BN16/BN17</f>
        <v>3</v>
      </c>
      <c r="BI31" s="159"/>
      <c r="BJ31" s="159"/>
      <c r="BK31" s="55"/>
      <c r="BL31" s="55"/>
      <c r="BM31" s="55"/>
      <c r="BN31" s="55"/>
      <c r="BO31" s="55"/>
      <c r="BP31" s="51"/>
    </row>
    <row r="32" spans="1:68" ht="15" hidden="1" x14ac:dyDescent="0.25">
      <c r="A32" s="184" t="s">
        <v>190</v>
      </c>
      <c r="B32" s="183" t="str">
        <f>IF(ISNA(B$11),"",(B$3*B31*0.01))</f>
        <v/>
      </c>
      <c r="C32" s="183" t="str">
        <f t="shared" ref="C32:BD32" si="33">IF(ISNA(C$11),"",(C$3*C31*0.01))</f>
        <v/>
      </c>
      <c r="D32" s="183" t="str">
        <f t="shared" si="33"/>
        <v/>
      </c>
      <c r="E32" s="183" t="str">
        <f t="shared" si="33"/>
        <v/>
      </c>
      <c r="F32" s="183" t="str">
        <f t="shared" si="33"/>
        <v/>
      </c>
      <c r="G32" s="183" t="str">
        <f t="shared" si="33"/>
        <v/>
      </c>
      <c r="H32" s="183" t="str">
        <f t="shared" si="33"/>
        <v/>
      </c>
      <c r="I32" s="183" t="str">
        <f t="shared" si="33"/>
        <v/>
      </c>
      <c r="J32" s="183" t="str">
        <f t="shared" si="33"/>
        <v/>
      </c>
      <c r="K32" s="183" t="str">
        <f t="shared" si="33"/>
        <v/>
      </c>
      <c r="L32" s="183" t="str">
        <f t="shared" si="33"/>
        <v/>
      </c>
      <c r="M32" s="183" t="str">
        <f t="shared" si="33"/>
        <v/>
      </c>
      <c r="N32" s="183" t="str">
        <f t="shared" si="33"/>
        <v/>
      </c>
      <c r="O32" s="183" t="str">
        <f t="shared" si="33"/>
        <v/>
      </c>
      <c r="P32" s="183" t="str">
        <f t="shared" si="33"/>
        <v/>
      </c>
      <c r="Q32" s="183" t="str">
        <f t="shared" si="33"/>
        <v/>
      </c>
      <c r="R32" s="183" t="str">
        <f t="shared" si="33"/>
        <v/>
      </c>
      <c r="S32" s="183" t="str">
        <f t="shared" si="33"/>
        <v/>
      </c>
      <c r="T32" s="183" t="str">
        <f t="shared" si="33"/>
        <v/>
      </c>
      <c r="U32" s="183" t="str">
        <f t="shared" si="33"/>
        <v/>
      </c>
      <c r="V32" s="183" t="str">
        <f t="shared" si="33"/>
        <v/>
      </c>
      <c r="W32" s="183" t="str">
        <f t="shared" si="33"/>
        <v/>
      </c>
      <c r="X32" s="183" t="str">
        <f t="shared" si="33"/>
        <v/>
      </c>
      <c r="Y32" s="183" t="str">
        <f t="shared" si="33"/>
        <v/>
      </c>
      <c r="Z32" s="183" t="str">
        <f t="shared" si="33"/>
        <v/>
      </c>
      <c r="AA32" s="183" t="str">
        <f t="shared" si="33"/>
        <v/>
      </c>
      <c r="AB32" s="183" t="str">
        <f t="shared" si="33"/>
        <v/>
      </c>
      <c r="AC32" s="183" t="str">
        <f t="shared" si="33"/>
        <v/>
      </c>
      <c r="AD32" s="183" t="str">
        <f t="shared" si="33"/>
        <v/>
      </c>
      <c r="AE32" s="183" t="str">
        <f t="shared" si="33"/>
        <v/>
      </c>
      <c r="AF32" s="183" t="str">
        <f t="shared" si="33"/>
        <v/>
      </c>
      <c r="AG32" s="183" t="str">
        <f t="shared" si="33"/>
        <v/>
      </c>
      <c r="AH32" s="183" t="str">
        <f t="shared" si="33"/>
        <v/>
      </c>
      <c r="AI32" s="183" t="str">
        <f t="shared" si="33"/>
        <v/>
      </c>
      <c r="AJ32" s="183" t="str">
        <f t="shared" si="33"/>
        <v/>
      </c>
      <c r="AK32" s="183" t="str">
        <f t="shared" si="33"/>
        <v/>
      </c>
      <c r="AL32" s="183" t="str">
        <f t="shared" si="33"/>
        <v/>
      </c>
      <c r="AM32" s="183" t="str">
        <f t="shared" si="33"/>
        <v/>
      </c>
      <c r="AN32" s="183" t="str">
        <f t="shared" si="33"/>
        <v/>
      </c>
      <c r="AO32" s="183" t="str">
        <f t="shared" si="33"/>
        <v/>
      </c>
      <c r="AP32" s="183" t="str">
        <f t="shared" si="33"/>
        <v/>
      </c>
      <c r="AQ32" s="183" t="str">
        <f t="shared" si="33"/>
        <v/>
      </c>
      <c r="AR32" s="183" t="str">
        <f t="shared" si="33"/>
        <v/>
      </c>
      <c r="AS32" s="183" t="str">
        <f t="shared" si="33"/>
        <v/>
      </c>
      <c r="AT32" s="183">
        <f t="shared" si="33"/>
        <v>11.700000000000001</v>
      </c>
      <c r="AU32" s="183" t="str">
        <f t="shared" si="33"/>
        <v/>
      </c>
      <c r="AV32" s="183" t="str">
        <f t="shared" si="33"/>
        <v/>
      </c>
      <c r="AW32" s="183" t="str">
        <f t="shared" si="33"/>
        <v/>
      </c>
      <c r="AX32" s="183" t="str">
        <f t="shared" si="33"/>
        <v/>
      </c>
      <c r="AY32" s="183" t="str">
        <f t="shared" si="33"/>
        <v/>
      </c>
      <c r="AZ32" s="183" t="str">
        <f t="shared" si="33"/>
        <v/>
      </c>
      <c r="BA32" s="183" t="str">
        <f t="shared" si="33"/>
        <v/>
      </c>
      <c r="BB32" s="183" t="str">
        <f t="shared" si="33"/>
        <v/>
      </c>
      <c r="BC32" s="200" t="str">
        <f t="shared" si="33"/>
        <v/>
      </c>
      <c r="BD32" s="200" t="str">
        <f t="shared" si="33"/>
        <v/>
      </c>
      <c r="BE32" s="183">
        <f t="shared" si="30"/>
        <v>11.700000000000001</v>
      </c>
      <c r="BF32" s="207">
        <f t="shared" si="31"/>
        <v>13</v>
      </c>
      <c r="BG32" s="61"/>
      <c r="BH32" s="55"/>
      <c r="BI32" s="55"/>
      <c r="BJ32" s="55"/>
      <c r="BK32" s="55"/>
      <c r="BL32" s="55"/>
      <c r="BM32" s="55"/>
      <c r="BN32" s="55"/>
      <c r="BO32" s="55"/>
      <c r="BP32" s="51"/>
    </row>
    <row r="33" spans="1:71" ht="15" hidden="1" x14ac:dyDescent="0.25">
      <c r="A33" s="184" t="s">
        <v>191</v>
      </c>
      <c r="B33" s="183" t="str">
        <f>IF(ISNA(B$11),"",(B$4*B31*0.01))</f>
        <v/>
      </c>
      <c r="C33" s="183" t="str">
        <f t="shared" ref="C33:BC33" si="34">IF(ISNA(C$11),"",(C$4*C31*0.01))</f>
        <v/>
      </c>
      <c r="D33" s="183" t="str">
        <f t="shared" si="34"/>
        <v/>
      </c>
      <c r="E33" s="183" t="str">
        <f t="shared" si="34"/>
        <v/>
      </c>
      <c r="F33" s="183" t="str">
        <f t="shared" si="34"/>
        <v/>
      </c>
      <c r="G33" s="183" t="str">
        <f t="shared" si="34"/>
        <v/>
      </c>
      <c r="H33" s="183" t="str">
        <f t="shared" si="34"/>
        <v/>
      </c>
      <c r="I33" s="183" t="str">
        <f t="shared" si="34"/>
        <v/>
      </c>
      <c r="J33" s="183" t="str">
        <f t="shared" si="34"/>
        <v/>
      </c>
      <c r="K33" s="183" t="str">
        <f t="shared" si="34"/>
        <v/>
      </c>
      <c r="L33" s="183" t="str">
        <f>IF(ISNA(L$11),"",(L$4*L31*0.01))</f>
        <v/>
      </c>
      <c r="M33" s="183" t="str">
        <f t="shared" si="34"/>
        <v/>
      </c>
      <c r="N33" s="183" t="str">
        <f t="shared" si="34"/>
        <v/>
      </c>
      <c r="O33" s="183" t="str">
        <f t="shared" si="34"/>
        <v/>
      </c>
      <c r="P33" s="183" t="str">
        <f t="shared" si="34"/>
        <v/>
      </c>
      <c r="Q33" s="183" t="str">
        <f t="shared" si="34"/>
        <v/>
      </c>
      <c r="R33" s="183" t="str">
        <f t="shared" si="34"/>
        <v/>
      </c>
      <c r="S33" s="183" t="str">
        <f t="shared" si="34"/>
        <v/>
      </c>
      <c r="T33" s="183" t="str">
        <f t="shared" si="34"/>
        <v/>
      </c>
      <c r="U33" s="183" t="str">
        <f t="shared" si="34"/>
        <v/>
      </c>
      <c r="V33" s="183" t="str">
        <f t="shared" si="34"/>
        <v/>
      </c>
      <c r="W33" s="183" t="str">
        <f>IF(ISNA(W$11),"",(W$4*W31*0.01))</f>
        <v/>
      </c>
      <c r="X33" s="183" t="str">
        <f t="shared" si="34"/>
        <v/>
      </c>
      <c r="Y33" s="183" t="str">
        <f t="shared" si="34"/>
        <v/>
      </c>
      <c r="Z33" s="183" t="str">
        <f t="shared" si="34"/>
        <v/>
      </c>
      <c r="AA33" s="183" t="str">
        <f t="shared" si="34"/>
        <v/>
      </c>
      <c r="AB33" s="183" t="str">
        <f t="shared" si="34"/>
        <v/>
      </c>
      <c r="AC33" s="183" t="str">
        <f t="shared" si="34"/>
        <v/>
      </c>
      <c r="AD33" s="183" t="str">
        <f t="shared" si="34"/>
        <v/>
      </c>
      <c r="AE33" s="183" t="str">
        <f t="shared" si="34"/>
        <v/>
      </c>
      <c r="AF33" s="183" t="str">
        <f t="shared" si="34"/>
        <v/>
      </c>
      <c r="AG33" s="183" t="str">
        <f t="shared" si="34"/>
        <v/>
      </c>
      <c r="AH33" s="183" t="str">
        <f>IF(ISNA(AH$11),"",(AH$4*AH31*0.01))</f>
        <v/>
      </c>
      <c r="AI33" s="183" t="str">
        <f t="shared" si="34"/>
        <v/>
      </c>
      <c r="AJ33" s="183" t="str">
        <f t="shared" si="34"/>
        <v/>
      </c>
      <c r="AK33" s="183" t="str">
        <f t="shared" si="34"/>
        <v/>
      </c>
      <c r="AL33" s="183" t="str">
        <f t="shared" si="34"/>
        <v/>
      </c>
      <c r="AM33" s="183" t="str">
        <f t="shared" si="34"/>
        <v/>
      </c>
      <c r="AN33" s="183" t="str">
        <f t="shared" si="34"/>
        <v/>
      </c>
      <c r="AO33" s="183" t="str">
        <f t="shared" si="34"/>
        <v/>
      </c>
      <c r="AP33" s="183" t="str">
        <f t="shared" si="34"/>
        <v/>
      </c>
      <c r="AQ33" s="183" t="str">
        <f t="shared" si="34"/>
        <v/>
      </c>
      <c r="AR33" s="183" t="str">
        <f t="shared" si="34"/>
        <v/>
      </c>
      <c r="AS33" s="183" t="str">
        <f>IF(ISNA(AS$11),"",(AS$4*AS31*0.01))</f>
        <v/>
      </c>
      <c r="AT33" s="183">
        <f t="shared" si="34"/>
        <v>14.85</v>
      </c>
      <c r="AU33" s="183" t="str">
        <f t="shared" si="34"/>
        <v/>
      </c>
      <c r="AV33" s="183" t="str">
        <f t="shared" si="34"/>
        <v/>
      </c>
      <c r="AW33" s="183" t="str">
        <f t="shared" si="34"/>
        <v/>
      </c>
      <c r="AX33" s="183" t="str">
        <f t="shared" si="34"/>
        <v/>
      </c>
      <c r="AY33" s="183" t="str">
        <f t="shared" si="34"/>
        <v/>
      </c>
      <c r="AZ33" s="183" t="str">
        <f t="shared" si="34"/>
        <v/>
      </c>
      <c r="BA33" s="183" t="str">
        <f t="shared" si="34"/>
        <v/>
      </c>
      <c r="BB33" s="183" t="str">
        <f t="shared" si="34"/>
        <v/>
      </c>
      <c r="BC33" s="200" t="str">
        <f t="shared" si="34"/>
        <v/>
      </c>
      <c r="BD33" s="200" t="str">
        <f>IF(ISNA(BD$11),"",(BD$4*BD31*0.01))</f>
        <v/>
      </c>
      <c r="BE33" s="183">
        <f t="shared" si="30"/>
        <v>14.85</v>
      </c>
      <c r="BF33" s="207">
        <f t="shared" si="31"/>
        <v>16.5</v>
      </c>
      <c r="BG33" s="53"/>
      <c r="BH33" s="55"/>
      <c r="BI33" s="55"/>
      <c r="BJ33" s="61"/>
      <c r="BK33" s="55"/>
      <c r="BL33" s="55"/>
      <c r="BM33" s="55"/>
      <c r="BN33" s="55"/>
      <c r="BO33" s="55"/>
      <c r="BP33" s="55"/>
      <c r="BQ33" s="55"/>
      <c r="BR33" s="55"/>
      <c r="BS33" s="51"/>
    </row>
    <row r="34" spans="1:71" ht="15" hidden="1" x14ac:dyDescent="0.25">
      <c r="A34" s="184" t="s">
        <v>135</v>
      </c>
      <c r="B34" s="189" t="str">
        <f>IF(ISNA(B$11),"",(B31*B$6*0.01))</f>
        <v/>
      </c>
      <c r="C34" s="189" t="str">
        <f t="shared" ref="C34:BC34" si="35">IF(ISNA(C$11),"",(C31*C$6*0.01))</f>
        <v/>
      </c>
      <c r="D34" s="189" t="str">
        <f t="shared" si="35"/>
        <v/>
      </c>
      <c r="E34" s="189" t="str">
        <f t="shared" si="35"/>
        <v/>
      </c>
      <c r="F34" s="189" t="str">
        <f t="shared" si="35"/>
        <v/>
      </c>
      <c r="G34" s="189" t="str">
        <f t="shared" si="35"/>
        <v/>
      </c>
      <c r="H34" s="189" t="str">
        <f t="shared" si="35"/>
        <v/>
      </c>
      <c r="I34" s="189" t="str">
        <f t="shared" si="35"/>
        <v/>
      </c>
      <c r="J34" s="189" t="str">
        <f t="shared" si="35"/>
        <v/>
      </c>
      <c r="K34" s="189" t="str">
        <f t="shared" si="35"/>
        <v/>
      </c>
      <c r="L34" s="189" t="str">
        <f>IF(ISNA(L$11),"",(L31*L$6*0.01))</f>
        <v/>
      </c>
      <c r="M34" s="189" t="str">
        <f t="shared" si="35"/>
        <v/>
      </c>
      <c r="N34" s="189" t="str">
        <f t="shared" si="35"/>
        <v/>
      </c>
      <c r="O34" s="189" t="str">
        <f t="shared" si="35"/>
        <v/>
      </c>
      <c r="P34" s="189" t="str">
        <f t="shared" si="35"/>
        <v/>
      </c>
      <c r="Q34" s="189" t="str">
        <f t="shared" si="35"/>
        <v/>
      </c>
      <c r="R34" s="189" t="str">
        <f t="shared" si="35"/>
        <v/>
      </c>
      <c r="S34" s="189" t="str">
        <f t="shared" si="35"/>
        <v/>
      </c>
      <c r="T34" s="189" t="str">
        <f t="shared" si="35"/>
        <v/>
      </c>
      <c r="U34" s="189" t="str">
        <f t="shared" si="35"/>
        <v/>
      </c>
      <c r="V34" s="189" t="str">
        <f t="shared" si="35"/>
        <v/>
      </c>
      <c r="W34" s="189" t="str">
        <f>IF(ISNA(W$11),"",(W31*W$6*0.01))</f>
        <v/>
      </c>
      <c r="X34" s="189" t="str">
        <f t="shared" si="35"/>
        <v/>
      </c>
      <c r="Y34" s="189" t="str">
        <f t="shared" si="35"/>
        <v/>
      </c>
      <c r="Z34" s="189" t="str">
        <f t="shared" si="35"/>
        <v/>
      </c>
      <c r="AA34" s="189" t="str">
        <f t="shared" si="35"/>
        <v/>
      </c>
      <c r="AB34" s="189" t="str">
        <f t="shared" si="35"/>
        <v/>
      </c>
      <c r="AC34" s="189" t="str">
        <f t="shared" si="35"/>
        <v/>
      </c>
      <c r="AD34" s="189" t="str">
        <f t="shared" si="35"/>
        <v/>
      </c>
      <c r="AE34" s="189" t="str">
        <f t="shared" si="35"/>
        <v/>
      </c>
      <c r="AF34" s="189" t="str">
        <f t="shared" si="35"/>
        <v/>
      </c>
      <c r="AG34" s="189" t="str">
        <f t="shared" si="35"/>
        <v/>
      </c>
      <c r="AH34" s="189" t="str">
        <f>IF(ISNA(AH$11),"",(AH31*AH$6*0.01))</f>
        <v/>
      </c>
      <c r="AI34" s="189" t="str">
        <f t="shared" si="35"/>
        <v/>
      </c>
      <c r="AJ34" s="189" t="str">
        <f t="shared" si="35"/>
        <v/>
      </c>
      <c r="AK34" s="189" t="str">
        <f t="shared" si="35"/>
        <v/>
      </c>
      <c r="AL34" s="189" t="str">
        <f t="shared" si="35"/>
        <v/>
      </c>
      <c r="AM34" s="189" t="str">
        <f t="shared" si="35"/>
        <v/>
      </c>
      <c r="AN34" s="189" t="str">
        <f t="shared" si="35"/>
        <v/>
      </c>
      <c r="AO34" s="189" t="str">
        <f t="shared" si="35"/>
        <v/>
      </c>
      <c r="AP34" s="189" t="str">
        <f t="shared" si="35"/>
        <v/>
      </c>
      <c r="AQ34" s="189" t="str">
        <f t="shared" si="35"/>
        <v/>
      </c>
      <c r="AR34" s="189" t="str">
        <f t="shared" si="35"/>
        <v/>
      </c>
      <c r="AS34" s="189" t="str">
        <f>IF(ISNA(AS$11),"",(AS31*AS$6*0.01))</f>
        <v/>
      </c>
      <c r="AT34" s="189">
        <f t="shared" si="35"/>
        <v>2.7</v>
      </c>
      <c r="AU34" s="189" t="str">
        <f t="shared" si="35"/>
        <v/>
      </c>
      <c r="AV34" s="189" t="str">
        <f t="shared" si="35"/>
        <v/>
      </c>
      <c r="AW34" s="189" t="str">
        <f t="shared" si="35"/>
        <v/>
      </c>
      <c r="AX34" s="189" t="str">
        <f t="shared" si="35"/>
        <v/>
      </c>
      <c r="AY34" s="189" t="str">
        <f t="shared" si="35"/>
        <v/>
      </c>
      <c r="AZ34" s="189" t="str">
        <f t="shared" si="35"/>
        <v/>
      </c>
      <c r="BA34" s="189" t="str">
        <f t="shared" si="35"/>
        <v/>
      </c>
      <c r="BB34" s="189" t="str">
        <f t="shared" si="35"/>
        <v/>
      </c>
      <c r="BC34" s="201" t="str">
        <f t="shared" si="35"/>
        <v/>
      </c>
      <c r="BD34" s="201" t="str">
        <f>IF(ISNA(BD$11),"",(BD31*BD$6*0.01))</f>
        <v/>
      </c>
      <c r="BE34" s="183">
        <f t="shared" si="30"/>
        <v>2.7</v>
      </c>
      <c r="BF34" s="207">
        <f t="shared" si="31"/>
        <v>3</v>
      </c>
      <c r="BG34" s="53"/>
      <c r="BH34" s="55"/>
      <c r="BI34" s="55"/>
      <c r="BJ34" s="61"/>
      <c r="BK34" s="55"/>
      <c r="BL34" s="55"/>
      <c r="BM34" s="55"/>
      <c r="BN34" s="55"/>
      <c r="BO34" s="55"/>
      <c r="BP34" s="55"/>
      <c r="BQ34" s="55"/>
      <c r="BR34" s="55"/>
      <c r="BS34" s="51"/>
    </row>
    <row r="35" spans="1:71" ht="15" hidden="1" x14ac:dyDescent="0.25">
      <c r="A35" s="184" t="s">
        <v>136</v>
      </c>
      <c r="B35" s="189" t="str">
        <f>IF(ISNA(B$11),"",(B31*B$7*0.01))</f>
        <v/>
      </c>
      <c r="C35" s="189" t="str">
        <f t="shared" ref="C35:BC35" si="36">IF(ISNA(C$11),"",(C31*C$7*0.01))</f>
        <v/>
      </c>
      <c r="D35" s="189" t="str">
        <f t="shared" si="36"/>
        <v/>
      </c>
      <c r="E35" s="189" t="str">
        <f t="shared" si="36"/>
        <v/>
      </c>
      <c r="F35" s="189" t="str">
        <f t="shared" si="36"/>
        <v/>
      </c>
      <c r="G35" s="189" t="str">
        <f t="shared" si="36"/>
        <v/>
      </c>
      <c r="H35" s="189" t="str">
        <f t="shared" si="36"/>
        <v/>
      </c>
      <c r="I35" s="189" t="str">
        <f t="shared" si="36"/>
        <v/>
      </c>
      <c r="J35" s="189" t="str">
        <f t="shared" si="36"/>
        <v/>
      </c>
      <c r="K35" s="189" t="str">
        <f t="shared" si="36"/>
        <v/>
      </c>
      <c r="L35" s="189" t="str">
        <f>IF(ISNA(L$11),"",(L31*L$7*0.01))</f>
        <v/>
      </c>
      <c r="M35" s="189" t="str">
        <f t="shared" si="36"/>
        <v/>
      </c>
      <c r="N35" s="189" t="str">
        <f t="shared" si="36"/>
        <v/>
      </c>
      <c r="O35" s="189" t="str">
        <f t="shared" si="36"/>
        <v/>
      </c>
      <c r="P35" s="189" t="str">
        <f t="shared" si="36"/>
        <v/>
      </c>
      <c r="Q35" s="189" t="str">
        <f t="shared" si="36"/>
        <v/>
      </c>
      <c r="R35" s="189" t="str">
        <f t="shared" si="36"/>
        <v/>
      </c>
      <c r="S35" s="189" t="str">
        <f t="shared" si="36"/>
        <v/>
      </c>
      <c r="T35" s="189" t="str">
        <f t="shared" si="36"/>
        <v/>
      </c>
      <c r="U35" s="189" t="str">
        <f t="shared" si="36"/>
        <v/>
      </c>
      <c r="V35" s="189" t="str">
        <f t="shared" si="36"/>
        <v/>
      </c>
      <c r="W35" s="189" t="str">
        <f>IF(ISNA(W$11),"",(W31*W$7*0.01))</f>
        <v/>
      </c>
      <c r="X35" s="189" t="str">
        <f t="shared" si="36"/>
        <v/>
      </c>
      <c r="Y35" s="189" t="str">
        <f t="shared" si="36"/>
        <v/>
      </c>
      <c r="Z35" s="189" t="str">
        <f t="shared" si="36"/>
        <v/>
      </c>
      <c r="AA35" s="189" t="str">
        <f t="shared" si="36"/>
        <v/>
      </c>
      <c r="AB35" s="189" t="str">
        <f t="shared" si="36"/>
        <v/>
      </c>
      <c r="AC35" s="189" t="str">
        <f t="shared" si="36"/>
        <v/>
      </c>
      <c r="AD35" s="189" t="str">
        <f t="shared" si="36"/>
        <v/>
      </c>
      <c r="AE35" s="189" t="str">
        <f t="shared" si="36"/>
        <v/>
      </c>
      <c r="AF35" s="189" t="str">
        <f t="shared" si="36"/>
        <v/>
      </c>
      <c r="AG35" s="189" t="str">
        <f t="shared" si="36"/>
        <v/>
      </c>
      <c r="AH35" s="189" t="str">
        <f>IF(ISNA(AH$11),"",(AH31*AH$7*0.01))</f>
        <v/>
      </c>
      <c r="AI35" s="189" t="str">
        <f t="shared" si="36"/>
        <v/>
      </c>
      <c r="AJ35" s="189" t="str">
        <f t="shared" si="36"/>
        <v/>
      </c>
      <c r="AK35" s="189" t="str">
        <f t="shared" si="36"/>
        <v/>
      </c>
      <c r="AL35" s="189" t="str">
        <f t="shared" si="36"/>
        <v/>
      </c>
      <c r="AM35" s="189" t="str">
        <f t="shared" si="36"/>
        <v/>
      </c>
      <c r="AN35" s="189" t="str">
        <f t="shared" si="36"/>
        <v/>
      </c>
      <c r="AO35" s="189" t="str">
        <f t="shared" si="36"/>
        <v/>
      </c>
      <c r="AP35" s="189" t="str">
        <f t="shared" si="36"/>
        <v/>
      </c>
      <c r="AQ35" s="189" t="str">
        <f t="shared" si="36"/>
        <v/>
      </c>
      <c r="AR35" s="189" t="str">
        <f t="shared" si="36"/>
        <v/>
      </c>
      <c r="AS35" s="189" t="str">
        <f>IF(ISNA(AS$11),"",(AS31*AS$7*0.01))</f>
        <v/>
      </c>
      <c r="AT35" s="189">
        <f t="shared" si="36"/>
        <v>0.9</v>
      </c>
      <c r="AU35" s="189" t="str">
        <f t="shared" si="36"/>
        <v/>
      </c>
      <c r="AV35" s="189" t="str">
        <f t="shared" si="36"/>
        <v/>
      </c>
      <c r="AW35" s="189" t="str">
        <f t="shared" si="36"/>
        <v/>
      </c>
      <c r="AX35" s="189" t="str">
        <f t="shared" si="36"/>
        <v/>
      </c>
      <c r="AY35" s="189" t="str">
        <f t="shared" si="36"/>
        <v/>
      </c>
      <c r="AZ35" s="189" t="str">
        <f t="shared" si="36"/>
        <v/>
      </c>
      <c r="BA35" s="189" t="str">
        <f t="shared" si="36"/>
        <v/>
      </c>
      <c r="BB35" s="189" t="str">
        <f t="shared" si="36"/>
        <v/>
      </c>
      <c r="BC35" s="201" t="str">
        <f t="shared" si="36"/>
        <v/>
      </c>
      <c r="BD35" s="201" t="str">
        <f>IF(ISNA(BD$11),"",(BD31*BD$7*0.01))</f>
        <v/>
      </c>
      <c r="BE35" s="183">
        <f t="shared" si="30"/>
        <v>0.9</v>
      </c>
      <c r="BF35" s="207">
        <f t="shared" si="31"/>
        <v>1</v>
      </c>
      <c r="BG35" s="53"/>
      <c r="BH35" s="55"/>
      <c r="BI35" s="55"/>
      <c r="BJ35" s="61"/>
      <c r="BK35" s="55"/>
      <c r="BL35" s="55"/>
      <c r="BM35" s="55"/>
      <c r="BN35" s="55"/>
      <c r="BO35" s="55"/>
      <c r="BP35" s="55"/>
      <c r="BQ35" s="55"/>
      <c r="BR35" s="55"/>
      <c r="BS35" s="51"/>
    </row>
    <row r="36" spans="1:71" ht="15.75" hidden="1" thickBot="1" x14ac:dyDescent="0.3">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6"/>
      <c r="AO36" s="56"/>
      <c r="AP36" s="56"/>
      <c r="AQ36" s="56"/>
      <c r="AR36" s="56"/>
      <c r="AS36" s="56"/>
      <c r="AT36" s="56"/>
      <c r="AU36" s="56"/>
      <c r="AV36" s="56"/>
      <c r="AW36" s="56"/>
      <c r="AX36" s="56"/>
      <c r="AY36" s="56"/>
      <c r="AZ36" s="56"/>
      <c r="BA36" s="56"/>
      <c r="BB36" s="56"/>
      <c r="BC36" s="183"/>
      <c r="BD36" s="183"/>
      <c r="BE36" s="159"/>
      <c r="BF36" s="55"/>
      <c r="BG36" s="64"/>
      <c r="BH36" s="64"/>
      <c r="BI36" s="64"/>
      <c r="BJ36" s="64"/>
      <c r="BK36" s="64"/>
      <c r="BL36" s="64"/>
      <c r="BM36" s="64"/>
      <c r="BN36" s="64"/>
      <c r="BO36" s="64"/>
      <c r="BP36" s="64"/>
      <c r="BQ36" s="65"/>
      <c r="BR36" s="66"/>
    </row>
    <row r="37" spans="1:71" hidden="1" x14ac:dyDescent="0.2"/>
    <row r="38" spans="1:71" hidden="1" x14ac:dyDescent="0.2"/>
  </sheetData>
  <sheetProtection password="C1BB" sheet="1" objects="1" scenarios="1"/>
  <mergeCells count="1">
    <mergeCell ref="B18:C18"/>
  </mergeCells>
  <phoneticPr fontId="87" type="noConversion"/>
  <pageMargins left="0.75" right="0.75" top="1" bottom="1" header="0.5" footer="0.5"/>
  <pageSetup paperSize="9"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Q96"/>
  <sheetViews>
    <sheetView topLeftCell="A34" zoomScale="75" workbookViewId="0">
      <selection activeCell="D28" sqref="D28"/>
    </sheetView>
  </sheetViews>
  <sheetFormatPr defaultRowHeight="12.75" x14ac:dyDescent="0.2"/>
  <cols>
    <col min="1" max="1" width="17.5703125" style="32" customWidth="1"/>
    <col min="2" max="2" width="28.85546875" style="32" customWidth="1"/>
    <col min="3" max="3" width="10.28515625" style="32" customWidth="1"/>
    <col min="4" max="4" width="12.28515625" style="32" customWidth="1"/>
    <col min="5" max="5" width="12.42578125" style="32" customWidth="1"/>
    <col min="6" max="6" width="9.140625" style="32"/>
    <col min="7" max="20" width="11.140625" style="32" customWidth="1"/>
    <col min="21" max="21" width="12.140625" style="749" customWidth="1"/>
    <col min="22" max="43" width="12.140625" style="747" customWidth="1"/>
    <col min="44" max="16384" width="9.140625" style="32"/>
  </cols>
  <sheetData>
    <row r="1" spans="1:42" ht="15.75" x14ac:dyDescent="0.25">
      <c r="A1" s="31"/>
      <c r="B1" s="34"/>
      <c r="C1" s="34"/>
      <c r="D1" s="34"/>
      <c r="E1" s="34"/>
      <c r="F1" s="34"/>
      <c r="G1" s="764"/>
      <c r="H1" s="764"/>
      <c r="I1" s="764"/>
      <c r="J1" s="764"/>
      <c r="K1" s="764"/>
      <c r="L1" s="764"/>
      <c r="M1" s="764"/>
      <c r="N1" s="764"/>
      <c r="O1" s="764"/>
      <c r="P1" s="764"/>
      <c r="Q1" s="764"/>
      <c r="R1" s="764"/>
      <c r="S1" s="764"/>
      <c r="T1" s="764"/>
      <c r="U1" s="689"/>
      <c r="V1" s="689"/>
      <c r="W1" s="689"/>
      <c r="X1" s="689"/>
      <c r="Y1" s="690" t="s">
        <v>134</v>
      </c>
      <c r="Z1" s="690"/>
      <c r="AA1" s="690"/>
      <c r="AB1" s="690"/>
      <c r="AC1" s="691"/>
      <c r="AD1" s="691"/>
      <c r="AE1" s="691"/>
      <c r="AF1" s="691"/>
      <c r="AG1" s="691"/>
      <c r="AH1" s="691"/>
      <c r="AI1" s="691"/>
      <c r="AJ1" s="691"/>
      <c r="AK1" s="692"/>
      <c r="AL1" s="692"/>
      <c r="AM1" s="692"/>
      <c r="AN1" s="692"/>
      <c r="AO1" s="692"/>
      <c r="AP1" s="692"/>
    </row>
    <row r="2" spans="1:42" ht="15.75" x14ac:dyDescent="0.25">
      <c r="A2" s="31"/>
      <c r="B2" s="765" t="s">
        <v>101</v>
      </c>
      <c r="C2" s="766"/>
      <c r="D2" s="81"/>
      <c r="E2" s="81"/>
      <c r="F2" s="67"/>
      <c r="G2" s="764"/>
      <c r="H2" s="764"/>
      <c r="I2" s="764"/>
      <c r="J2" s="764"/>
      <c r="K2" s="764"/>
      <c r="L2" s="764"/>
      <c r="M2" s="764"/>
      <c r="N2" s="764"/>
      <c r="O2" s="764"/>
      <c r="P2" s="764"/>
      <c r="Q2" s="764"/>
      <c r="R2" s="764"/>
      <c r="S2" s="764"/>
      <c r="T2" s="764"/>
      <c r="U2" s="689"/>
      <c r="V2" s="689"/>
      <c r="W2" s="689"/>
      <c r="X2" s="689"/>
      <c r="Y2" s="691"/>
      <c r="Z2" s="691"/>
      <c r="AA2" s="691"/>
      <c r="AB2" s="691"/>
      <c r="AC2" s="691"/>
      <c r="AD2" s="691"/>
      <c r="AE2" s="691"/>
      <c r="AF2" s="691"/>
      <c r="AG2" s="691"/>
      <c r="AH2" s="691"/>
      <c r="AI2" s="691"/>
      <c r="AJ2" s="691"/>
      <c r="AK2" s="692"/>
      <c r="AL2" s="692"/>
      <c r="AM2" s="692"/>
      <c r="AN2" s="692"/>
      <c r="AO2" s="692"/>
      <c r="AP2" s="692"/>
    </row>
    <row r="3" spans="1:42" ht="15.75" x14ac:dyDescent="0.25">
      <c r="A3" s="31"/>
      <c r="B3" s="767" t="s">
        <v>541</v>
      </c>
      <c r="C3" s="81"/>
      <c r="D3" s="768"/>
      <c r="E3" s="81"/>
      <c r="F3" s="67"/>
      <c r="G3" s="764"/>
      <c r="H3" s="764"/>
      <c r="I3" s="764"/>
      <c r="J3" s="764"/>
      <c r="K3" s="764"/>
      <c r="L3" s="764"/>
      <c r="M3" s="764"/>
      <c r="N3" s="764"/>
      <c r="O3" s="764"/>
      <c r="P3" s="764"/>
      <c r="Q3" s="764"/>
      <c r="R3" s="764"/>
      <c r="S3" s="764"/>
      <c r="T3" s="764"/>
      <c r="U3" s="689"/>
      <c r="V3" s="692"/>
      <c r="W3" s="692"/>
      <c r="X3" s="692"/>
      <c r="Y3" s="691"/>
      <c r="Z3" s="691"/>
      <c r="AA3" s="691"/>
      <c r="AB3" s="691"/>
      <c r="AC3" s="691"/>
      <c r="AD3" s="691"/>
      <c r="AE3" s="691"/>
      <c r="AF3" s="691"/>
      <c r="AG3" s="691"/>
      <c r="AH3" s="691"/>
      <c r="AI3" s="691"/>
      <c r="AJ3" s="691"/>
      <c r="AK3" s="692"/>
      <c r="AL3" s="692"/>
      <c r="AM3" s="692"/>
      <c r="AN3" s="692"/>
      <c r="AO3" s="692"/>
      <c r="AP3" s="692"/>
    </row>
    <row r="4" spans="1:42" ht="15.75" x14ac:dyDescent="0.25">
      <c r="A4" s="31"/>
      <c r="B4" s="769" t="s">
        <v>514</v>
      </c>
      <c r="C4" s="81"/>
      <c r="D4" s="768"/>
      <c r="E4" s="81"/>
      <c r="F4" s="67"/>
      <c r="G4" s="764"/>
      <c r="H4" s="764"/>
      <c r="I4" s="764"/>
      <c r="J4" s="764"/>
      <c r="K4" s="764"/>
      <c r="L4" s="764"/>
      <c r="M4" s="764"/>
      <c r="N4" s="764"/>
      <c r="O4" s="764"/>
      <c r="P4" s="764"/>
      <c r="Q4" s="764"/>
      <c r="R4" s="764"/>
      <c r="S4" s="764"/>
      <c r="T4" s="764"/>
      <c r="U4" s="689"/>
      <c r="V4" s="689"/>
      <c r="W4" s="689"/>
      <c r="X4" s="689"/>
      <c r="Y4" s="690" t="s">
        <v>133</v>
      </c>
      <c r="Z4" s="691"/>
      <c r="AA4" s="691"/>
      <c r="AB4" s="691"/>
      <c r="AC4" s="691"/>
      <c r="AD4" s="691"/>
      <c r="AE4" s="691"/>
      <c r="AF4" s="691"/>
      <c r="AG4" s="691"/>
      <c r="AH4" s="691"/>
      <c r="AI4" s="691"/>
      <c r="AJ4" s="691"/>
      <c r="AK4" s="692"/>
      <c r="AL4" s="692"/>
      <c r="AM4" s="692"/>
      <c r="AN4" s="692"/>
      <c r="AO4" s="692"/>
      <c r="AP4" s="692"/>
    </row>
    <row r="5" spans="1:42" ht="15.75" x14ac:dyDescent="0.25">
      <c r="A5" s="31"/>
      <c r="B5" s="31"/>
      <c r="C5" s="769" t="s">
        <v>13</v>
      </c>
      <c r="D5" s="769" t="s">
        <v>63</v>
      </c>
      <c r="E5" s="770" t="s">
        <v>90</v>
      </c>
      <c r="F5" s="771" t="s">
        <v>92</v>
      </c>
      <c r="G5" s="764"/>
      <c r="H5" s="764"/>
      <c r="I5" s="764"/>
      <c r="J5" s="764"/>
      <c r="K5" s="764"/>
      <c r="L5" s="764"/>
      <c r="M5" s="764"/>
      <c r="N5" s="764"/>
      <c r="O5" s="764"/>
      <c r="P5" s="764"/>
      <c r="Q5" s="764"/>
      <c r="R5" s="764"/>
      <c r="S5" s="764"/>
      <c r="T5" s="764"/>
      <c r="U5" s="689" t="s">
        <v>338</v>
      </c>
      <c r="V5" s="689" t="s">
        <v>339</v>
      </c>
      <c r="W5" s="689" t="s">
        <v>340</v>
      </c>
      <c r="X5" s="692"/>
      <c r="Y5" s="691" t="s">
        <v>121</v>
      </c>
      <c r="Z5" s="691" t="s">
        <v>117</v>
      </c>
      <c r="AA5" s="691" t="s">
        <v>128</v>
      </c>
      <c r="AB5" s="691"/>
      <c r="AC5" s="691"/>
      <c r="AD5" s="691"/>
      <c r="AE5" s="691"/>
      <c r="AF5" s="691"/>
      <c r="AG5" s="691"/>
      <c r="AH5" s="691"/>
      <c r="AI5" s="691"/>
      <c r="AJ5" s="691"/>
      <c r="AK5" s="692"/>
      <c r="AL5" s="692"/>
      <c r="AM5" s="692"/>
      <c r="AN5" s="692"/>
      <c r="AO5" s="692"/>
      <c r="AP5" s="692"/>
    </row>
    <row r="6" spans="1:42" ht="15" x14ac:dyDescent="0.2">
      <c r="A6" s="31"/>
      <c r="B6" s="772" t="s">
        <v>16</v>
      </c>
      <c r="C6" s="773">
        <f>+Summary!$C$4*Inputs!D5*0.01</f>
        <v>4700</v>
      </c>
      <c r="D6" s="774">
        <f>Z32</f>
        <v>135.47</v>
      </c>
      <c r="E6" s="775">
        <f>IF(D6="","",D6*C6)</f>
        <v>636709</v>
      </c>
      <c r="F6" s="776"/>
      <c r="G6" s="764"/>
      <c r="H6" s="764"/>
      <c r="I6" s="764"/>
      <c r="J6" s="764"/>
      <c r="K6" s="764"/>
      <c r="L6" s="764"/>
      <c r="M6" s="764"/>
      <c r="N6" s="764"/>
      <c r="O6" s="764"/>
      <c r="P6" s="764"/>
      <c r="Q6" s="764"/>
      <c r="R6" s="764"/>
      <c r="S6" s="764"/>
      <c r="T6" s="764"/>
      <c r="U6" s="689">
        <f>Summary!C9*Summary!C12*0.01*C6</f>
        <v>110450</v>
      </c>
      <c r="V6" s="689"/>
      <c r="W6" s="689"/>
      <c r="X6" s="692"/>
      <c r="Y6" s="691" t="s">
        <v>122</v>
      </c>
      <c r="Z6" s="694">
        <f>+E24+E25+E27</f>
        <v>565000</v>
      </c>
      <c r="AA6" s="695">
        <f t="shared" ref="AA6:AA12" si="0">+Z6/$C$24</f>
        <v>113</v>
      </c>
      <c r="AB6" s="691"/>
      <c r="AC6" s="691"/>
      <c r="AD6" s="691"/>
      <c r="AE6" s="696"/>
      <c r="AF6" s="697"/>
      <c r="AG6" s="697" t="s">
        <v>517</v>
      </c>
      <c r="AH6" s="697"/>
      <c r="AI6" s="691"/>
      <c r="AJ6" s="691"/>
      <c r="AK6" s="692"/>
      <c r="AL6" s="692"/>
      <c r="AM6" s="692"/>
      <c r="AN6" s="692"/>
      <c r="AO6" s="692"/>
      <c r="AP6" s="692"/>
    </row>
    <row r="7" spans="1:42" ht="15.75" x14ac:dyDescent="0.25">
      <c r="A7" s="31"/>
      <c r="B7" s="772" t="s">
        <v>89</v>
      </c>
      <c r="C7" s="773">
        <f>+Summary!$C$4*Inputs!D7*0.01</f>
        <v>0</v>
      </c>
      <c r="D7" s="774">
        <f>Z37</f>
        <v>135.47</v>
      </c>
      <c r="E7" s="775">
        <f>IF(D7="","",D7*C7)</f>
        <v>0</v>
      </c>
      <c r="F7" s="776"/>
      <c r="G7" s="81"/>
      <c r="H7" s="81"/>
      <c r="I7" s="81"/>
      <c r="J7" s="81"/>
      <c r="K7" s="81"/>
      <c r="L7" s="81"/>
      <c r="M7" s="81"/>
      <c r="N7" s="81"/>
      <c r="O7" s="81"/>
      <c r="P7" s="81"/>
      <c r="Q7" s="81"/>
      <c r="R7" s="81"/>
      <c r="S7" s="81"/>
      <c r="T7" s="81"/>
      <c r="U7" s="689">
        <f>Summary!C9*Summary!C12*0.01*C7</f>
        <v>0</v>
      </c>
      <c r="V7" s="689"/>
      <c r="W7" s="689"/>
      <c r="X7" s="692"/>
      <c r="Y7" s="691" t="s">
        <v>123</v>
      </c>
      <c r="Z7" s="694">
        <f>E26+E28+E41+E42+E43+E44+E45</f>
        <v>64839.500880626219</v>
      </c>
      <c r="AA7" s="695">
        <f t="shared" si="0"/>
        <v>12.967900176125244</v>
      </c>
      <c r="AB7" s="691"/>
      <c r="AC7" s="691"/>
      <c r="AD7" s="691"/>
      <c r="AE7" s="698" t="s">
        <v>111</v>
      </c>
      <c r="AF7" s="697"/>
      <c r="AG7" s="697" t="s">
        <v>112</v>
      </c>
      <c r="AH7" s="697"/>
      <c r="AI7" s="691"/>
      <c r="AJ7" s="691"/>
      <c r="AK7" s="692"/>
      <c r="AL7" s="692"/>
      <c r="AM7" s="692"/>
      <c r="AN7" s="692"/>
      <c r="AO7" s="692"/>
      <c r="AP7" s="692"/>
    </row>
    <row r="8" spans="1:42" ht="15" x14ac:dyDescent="0.2">
      <c r="A8" s="31"/>
      <c r="B8" s="772" t="s">
        <v>87</v>
      </c>
      <c r="C8" s="773">
        <f>+Summary!$C$4*Inputs!D6*0.01</f>
        <v>250</v>
      </c>
      <c r="D8" s="774">
        <f>Z45</f>
        <v>135.6</v>
      </c>
      <c r="E8" s="775">
        <f>IF(D8="","",D8*C8)</f>
        <v>33900</v>
      </c>
      <c r="F8" s="777"/>
      <c r="G8" s="67"/>
      <c r="H8" s="67"/>
      <c r="I8" s="67"/>
      <c r="J8" s="67"/>
      <c r="K8" s="67"/>
      <c r="L8" s="67"/>
      <c r="M8" s="67"/>
      <c r="N8" s="67"/>
      <c r="O8" s="67"/>
      <c r="P8" s="67"/>
      <c r="Q8" s="67"/>
      <c r="R8" s="67"/>
      <c r="S8" s="67"/>
      <c r="T8" s="67"/>
      <c r="U8" s="689">
        <f>Summary!C5*0.45*C8</f>
        <v>4275</v>
      </c>
      <c r="V8" s="697"/>
      <c r="W8" s="697"/>
      <c r="X8" s="692"/>
      <c r="Y8" s="691" t="s">
        <v>124</v>
      </c>
      <c r="Z8" s="694">
        <f>SUM(E29:E40)</f>
        <v>26910</v>
      </c>
      <c r="AA8" s="695">
        <f t="shared" si="0"/>
        <v>5.3819999999999997</v>
      </c>
      <c r="AB8" s="691"/>
      <c r="AC8" s="691"/>
      <c r="AD8" s="691"/>
      <c r="AE8" s="699">
        <f>+Summary!C10</f>
        <v>5.89</v>
      </c>
      <c r="AF8" s="697">
        <v>0</v>
      </c>
      <c r="AG8" s="691" t="s">
        <v>113</v>
      </c>
      <c r="AH8" s="697" t="s">
        <v>114</v>
      </c>
      <c r="AI8" s="691" t="s">
        <v>115</v>
      </c>
      <c r="AJ8" s="692" t="s">
        <v>116</v>
      </c>
      <c r="AK8" s="692" t="s">
        <v>117</v>
      </c>
      <c r="AL8" s="692" t="s">
        <v>118</v>
      </c>
      <c r="AM8" s="692" t="s">
        <v>119</v>
      </c>
      <c r="AN8" s="692" t="s">
        <v>120</v>
      </c>
      <c r="AO8" s="692"/>
      <c r="AP8" s="692"/>
    </row>
    <row r="9" spans="1:42" ht="15.75" x14ac:dyDescent="0.25">
      <c r="A9" s="31"/>
      <c r="B9" s="769" t="s">
        <v>515</v>
      </c>
      <c r="C9" s="769">
        <f>SUM(C6:C8)</f>
        <v>4950</v>
      </c>
      <c r="D9" s="769"/>
      <c r="E9" s="778">
        <f>SUM(E6:E8)</f>
        <v>670609</v>
      </c>
      <c r="F9" s="779">
        <f>+E9</f>
        <v>670609</v>
      </c>
      <c r="G9" s="67"/>
      <c r="H9" s="67"/>
      <c r="I9" s="67"/>
      <c r="J9" s="67"/>
      <c r="K9" s="67"/>
      <c r="L9" s="67"/>
      <c r="M9" s="67"/>
      <c r="N9" s="67"/>
      <c r="O9" s="67"/>
      <c r="P9" s="67"/>
      <c r="Q9" s="67"/>
      <c r="R9" s="67"/>
      <c r="S9" s="67"/>
      <c r="T9" s="67"/>
      <c r="U9" s="700">
        <f>SUM(U6:U8)</f>
        <v>114725</v>
      </c>
      <c r="V9" s="701">
        <f>U9/C9</f>
        <v>23.176767676767678</v>
      </c>
      <c r="W9" s="702">
        <f>F9/U9</f>
        <v>5.8453606450207021</v>
      </c>
      <c r="X9" s="692"/>
      <c r="Y9" s="697" t="s">
        <v>125</v>
      </c>
      <c r="Z9" s="689">
        <f>+F48</f>
        <v>10714.285714285714</v>
      </c>
      <c r="AA9" s="695">
        <f t="shared" si="0"/>
        <v>2.1428571428571428</v>
      </c>
      <c r="AB9" s="691"/>
      <c r="AC9" s="691"/>
      <c r="AD9" s="691"/>
      <c r="AE9" s="699"/>
      <c r="AF9" s="697"/>
      <c r="AG9" s="691"/>
      <c r="AH9" s="697"/>
      <c r="AI9" s="691"/>
      <c r="AJ9" s="692"/>
      <c r="AK9" s="692"/>
      <c r="AL9" s="692"/>
      <c r="AM9" s="692"/>
      <c r="AN9" s="692"/>
      <c r="AO9" s="692"/>
      <c r="AP9" s="692"/>
    </row>
    <row r="10" spans="1:42" ht="15.75" x14ac:dyDescent="0.25">
      <c r="A10" s="31"/>
      <c r="B10" s="34"/>
      <c r="C10" s="34"/>
      <c r="D10" s="34"/>
      <c r="E10" s="34"/>
      <c r="F10" s="34"/>
      <c r="G10" s="67"/>
      <c r="H10" s="67"/>
      <c r="I10" s="67"/>
      <c r="J10" s="67"/>
      <c r="K10" s="67"/>
      <c r="L10" s="67"/>
      <c r="M10" s="67"/>
      <c r="N10" s="67"/>
      <c r="O10" s="67"/>
      <c r="P10" s="67"/>
      <c r="Q10" s="67"/>
      <c r="R10" s="67"/>
      <c r="S10" s="67"/>
      <c r="T10" s="67"/>
      <c r="U10" s="703"/>
      <c r="V10" s="691"/>
      <c r="W10" s="691"/>
      <c r="X10" s="691"/>
      <c r="Y10" s="697" t="s">
        <v>126</v>
      </c>
      <c r="Z10" s="689">
        <f>+F56</f>
        <v>112805.00000000001</v>
      </c>
      <c r="AA10" s="695">
        <f t="shared" si="0"/>
        <v>22.561000000000003</v>
      </c>
      <c r="AB10" s="691"/>
      <c r="AC10" s="691"/>
      <c r="AD10" s="691"/>
      <c r="AE10" s="699">
        <f>+AE8-0.8</f>
        <v>5.09</v>
      </c>
      <c r="AF10" s="699">
        <f t="shared" ref="AF10:AF26" si="1">+AE10-$AE$8</f>
        <v>-0.79999999999999982</v>
      </c>
      <c r="AG10" s="694">
        <f>$U$6*AE10+$C$6*Summary!$C$7</f>
        <v>562190.5</v>
      </c>
      <c r="AH10" s="689">
        <f>$U$7*AE10*Inputs!$D$14*0.01+$C$7*Summary!$C$7*Inputs!$D$15*0.01</f>
        <v>0</v>
      </c>
      <c r="AI10" s="694">
        <f>$U$8*AE10*0.8+$C$8*Summary!$C$7*0.75</f>
        <v>17407.8</v>
      </c>
      <c r="AJ10" s="704">
        <f t="shared" ref="AJ10:AJ26" si="2">+$F$20</f>
        <v>120000</v>
      </c>
      <c r="AK10" s="704">
        <f t="shared" ref="AK10:AK26" si="3">SUM(AG10:AJ10)</f>
        <v>699598.3</v>
      </c>
      <c r="AL10" s="704">
        <f t="shared" ref="AL10:AL26" si="4">+$G$61</f>
        <v>780268.78659491183</v>
      </c>
      <c r="AM10" s="704">
        <f t="shared" ref="AM10:AM26" si="5">+AK10-AL10</f>
        <v>-80670.486594911781</v>
      </c>
      <c r="AN10" s="705">
        <f>+AM10/Summary!$C$4</f>
        <v>-16.134097318982356</v>
      </c>
      <c r="AO10" s="692"/>
      <c r="AP10" s="692"/>
    </row>
    <row r="11" spans="1:42" ht="15.75" x14ac:dyDescent="0.25">
      <c r="A11" s="31"/>
      <c r="B11" s="769" t="s">
        <v>595</v>
      </c>
      <c r="C11" s="81"/>
      <c r="D11" s="768"/>
      <c r="E11" s="81"/>
      <c r="F11" s="67"/>
      <c r="G11" s="764"/>
      <c r="H11" s="764"/>
      <c r="I11" s="764"/>
      <c r="J11" s="764"/>
      <c r="K11" s="764"/>
      <c r="L11" s="764"/>
      <c r="M11" s="764"/>
      <c r="N11" s="764"/>
      <c r="O11" s="764"/>
      <c r="P11" s="764"/>
      <c r="Q11" s="764"/>
      <c r="R11" s="764"/>
      <c r="S11" s="764"/>
      <c r="T11" s="764"/>
      <c r="U11" s="689"/>
      <c r="V11" s="689"/>
      <c r="W11" s="689"/>
      <c r="X11" s="689"/>
      <c r="Y11" s="697" t="s">
        <v>127</v>
      </c>
      <c r="Z11" s="689">
        <f>+F59</f>
        <v>0</v>
      </c>
      <c r="AA11" s="695">
        <f t="shared" si="0"/>
        <v>0</v>
      </c>
      <c r="AB11" s="691"/>
      <c r="AC11" s="691"/>
      <c r="AD11" s="691"/>
      <c r="AE11" s="699">
        <f>+AE10+0.1</f>
        <v>5.1899999999999995</v>
      </c>
      <c r="AF11" s="699">
        <f t="shared" si="1"/>
        <v>-0.70000000000000018</v>
      </c>
      <c r="AG11" s="694">
        <f>$U$6*AE11+$C$6*Summary!$C$7</f>
        <v>573235.5</v>
      </c>
      <c r="AH11" s="689">
        <f>$U$7*AE11*Inputs!$D$14*0.01+$C$7*Summary!$C$7*Inputs!$D$15*0.01</f>
        <v>0</v>
      </c>
      <c r="AI11" s="694">
        <f>$U$8*AE11*0.8+$C$8*Summary!$C$7*0.75</f>
        <v>17749.8</v>
      </c>
      <c r="AJ11" s="704">
        <f t="shared" si="2"/>
        <v>120000</v>
      </c>
      <c r="AK11" s="704">
        <f t="shared" si="3"/>
        <v>710985.3</v>
      </c>
      <c r="AL11" s="704">
        <f t="shared" si="4"/>
        <v>780268.78659491183</v>
      </c>
      <c r="AM11" s="704">
        <f t="shared" si="5"/>
        <v>-69283.486594911781</v>
      </c>
      <c r="AN11" s="705">
        <f>+AM11/Summary!$C$4</f>
        <v>-13.856697318982356</v>
      </c>
      <c r="AO11" s="692"/>
      <c r="AP11" s="692"/>
    </row>
    <row r="12" spans="1:42" ht="15.75" x14ac:dyDescent="0.25">
      <c r="A12" s="31"/>
      <c r="B12" s="31"/>
      <c r="C12" s="769" t="s">
        <v>13</v>
      </c>
      <c r="D12" s="769" t="s">
        <v>63</v>
      </c>
      <c r="E12" s="770" t="s">
        <v>90</v>
      </c>
      <c r="F12" s="771" t="s">
        <v>92</v>
      </c>
      <c r="G12" s="764"/>
      <c r="H12" s="764"/>
      <c r="I12" s="764"/>
      <c r="J12" s="764"/>
      <c r="K12" s="764"/>
      <c r="L12" s="764"/>
      <c r="M12" s="764"/>
      <c r="N12" s="764"/>
      <c r="O12" s="764"/>
      <c r="P12" s="764"/>
      <c r="Q12" s="764"/>
      <c r="R12" s="764"/>
      <c r="S12" s="764"/>
      <c r="T12" s="764"/>
      <c r="U12" s="689"/>
      <c r="V12" s="689"/>
      <c r="W12" s="689"/>
      <c r="X12" s="689"/>
      <c r="Y12" s="706" t="s">
        <v>117</v>
      </c>
      <c r="Z12" s="707">
        <f>SUM(Z6:Z11)</f>
        <v>780268.78659491194</v>
      </c>
      <c r="AA12" s="702">
        <f t="shared" si="0"/>
        <v>156.05375731898238</v>
      </c>
      <c r="AB12" s="691"/>
      <c r="AC12" s="691"/>
      <c r="AD12" s="691"/>
      <c r="AE12" s="699">
        <f t="shared" ref="AE12:AE26" si="6">+AE11+0.1</f>
        <v>5.2899999999999991</v>
      </c>
      <c r="AF12" s="699">
        <f t="shared" si="1"/>
        <v>-0.60000000000000053</v>
      </c>
      <c r="AG12" s="694">
        <f>$U$6*AE12+$C$6*Summary!$C$7</f>
        <v>584280.49999999988</v>
      </c>
      <c r="AH12" s="689">
        <f>$U$7*AE12*Inputs!$D$14*0.01+$C$7*Summary!$C$7*Inputs!$D$15*0.01</f>
        <v>0</v>
      </c>
      <c r="AI12" s="694">
        <f>$U$8*AE12*0.8+$C$8*Summary!$C$7*0.75</f>
        <v>18091.8</v>
      </c>
      <c r="AJ12" s="704">
        <f t="shared" si="2"/>
        <v>120000</v>
      </c>
      <c r="AK12" s="704">
        <f t="shared" si="3"/>
        <v>722372.29999999993</v>
      </c>
      <c r="AL12" s="704">
        <f t="shared" si="4"/>
        <v>780268.78659491183</v>
      </c>
      <c r="AM12" s="704">
        <f t="shared" si="5"/>
        <v>-57896.486594911898</v>
      </c>
      <c r="AN12" s="705">
        <f>+AM12/Summary!$C$4</f>
        <v>-11.579297318982379</v>
      </c>
      <c r="AO12" s="692"/>
      <c r="AP12" s="692"/>
    </row>
    <row r="13" spans="1:42" ht="15" x14ac:dyDescent="0.2">
      <c r="A13" s="31"/>
      <c r="B13" s="772" t="s">
        <v>16</v>
      </c>
      <c r="C13" s="773">
        <f>C6</f>
        <v>4700</v>
      </c>
      <c r="D13" s="774" t="str">
        <f>IF(AA30=0,"",AA30)</f>
        <v/>
      </c>
      <c r="E13" s="775" t="str">
        <f>IF(D13="","",D13*C13)</f>
        <v/>
      </c>
      <c r="F13" s="776"/>
      <c r="G13" s="764"/>
      <c r="H13" s="764"/>
      <c r="I13" s="764"/>
      <c r="J13" s="764"/>
      <c r="K13" s="764"/>
      <c r="L13" s="764"/>
      <c r="M13" s="764"/>
      <c r="N13" s="764"/>
      <c r="O13" s="764"/>
      <c r="P13" s="764"/>
      <c r="Q13" s="764"/>
      <c r="R13" s="764"/>
      <c r="S13" s="764"/>
      <c r="T13" s="764"/>
      <c r="U13" s="689"/>
      <c r="V13" s="689"/>
      <c r="W13" s="689"/>
      <c r="X13" s="689"/>
      <c r="Y13" s="697"/>
      <c r="Z13" s="697"/>
      <c r="AA13" s="697"/>
      <c r="AB13" s="691"/>
      <c r="AC13" s="691"/>
      <c r="AD13" s="691"/>
      <c r="AE13" s="699">
        <f t="shared" si="6"/>
        <v>5.3899999999999988</v>
      </c>
      <c r="AF13" s="699">
        <f t="shared" si="1"/>
        <v>-0.50000000000000089</v>
      </c>
      <c r="AG13" s="694">
        <f>$U$6*AE13+$C$6*Summary!$C$7</f>
        <v>595325.49999999988</v>
      </c>
      <c r="AH13" s="689">
        <f>$U$7*AE13*Inputs!$D$14*0.01+$C$7*Summary!$C$7*Inputs!$D$15*0.01</f>
        <v>0</v>
      </c>
      <c r="AI13" s="694">
        <f>$U$8*AE13*0.8+$C$8*Summary!$C$7*0.75</f>
        <v>18433.8</v>
      </c>
      <c r="AJ13" s="704">
        <f t="shared" si="2"/>
        <v>120000</v>
      </c>
      <c r="AK13" s="704">
        <f t="shared" si="3"/>
        <v>733759.29999999993</v>
      </c>
      <c r="AL13" s="704">
        <f t="shared" si="4"/>
        <v>780268.78659491183</v>
      </c>
      <c r="AM13" s="704">
        <f t="shared" si="5"/>
        <v>-46509.486594911898</v>
      </c>
      <c r="AN13" s="705">
        <f>+AM13/Summary!$C$4</f>
        <v>-9.3018973189823804</v>
      </c>
      <c r="AO13" s="692"/>
      <c r="AP13" s="692"/>
    </row>
    <row r="14" spans="1:42" ht="15.75" x14ac:dyDescent="0.25">
      <c r="A14" s="31"/>
      <c r="B14" s="772" t="s">
        <v>89</v>
      </c>
      <c r="C14" s="773">
        <f>C7</f>
        <v>0</v>
      </c>
      <c r="D14" s="774" t="str">
        <f>IF(AA37=0,"",AA37)</f>
        <v/>
      </c>
      <c r="E14" s="775" t="str">
        <f>IF(D14="","",D14*C14)</f>
        <v/>
      </c>
      <c r="F14" s="776"/>
      <c r="G14" s="764"/>
      <c r="H14" s="764"/>
      <c r="I14" s="764"/>
      <c r="J14" s="764"/>
      <c r="K14" s="764"/>
      <c r="L14" s="764"/>
      <c r="M14" s="764"/>
      <c r="N14" s="764"/>
      <c r="O14" s="764"/>
      <c r="P14" s="764"/>
      <c r="Q14" s="764"/>
      <c r="R14" s="764"/>
      <c r="S14" s="764"/>
      <c r="T14" s="764"/>
      <c r="U14" s="689"/>
      <c r="V14" s="689"/>
      <c r="W14" s="689"/>
      <c r="X14" s="689"/>
      <c r="Y14" s="706" t="s">
        <v>129</v>
      </c>
      <c r="Z14" s="690"/>
      <c r="AA14" s="708" t="s">
        <v>131</v>
      </c>
      <c r="AB14" s="709"/>
      <c r="AC14" s="691"/>
      <c r="AD14" s="691"/>
      <c r="AE14" s="699">
        <f t="shared" si="6"/>
        <v>5.4899999999999984</v>
      </c>
      <c r="AF14" s="699">
        <f t="shared" si="1"/>
        <v>-0.40000000000000124</v>
      </c>
      <c r="AG14" s="694">
        <f>$U$6*AE14+$C$6*Summary!$C$7</f>
        <v>606370.49999999988</v>
      </c>
      <c r="AH14" s="689">
        <f>$U$7*AE14*Inputs!$D$14*0.01+$C$7*Summary!$C$7*Inputs!$D$15*0.01</f>
        <v>0</v>
      </c>
      <c r="AI14" s="694">
        <f>$U$8*AE14*0.8+$C$8*Summary!$C$7*0.75</f>
        <v>18775.799999999996</v>
      </c>
      <c r="AJ14" s="704">
        <f t="shared" si="2"/>
        <v>120000</v>
      </c>
      <c r="AK14" s="704">
        <f t="shared" si="3"/>
        <v>745146.29999999993</v>
      </c>
      <c r="AL14" s="704">
        <f t="shared" si="4"/>
        <v>780268.78659491183</v>
      </c>
      <c r="AM14" s="704">
        <f t="shared" si="5"/>
        <v>-35122.486594911898</v>
      </c>
      <c r="AN14" s="705">
        <f>+AM14/Summary!$C$4</f>
        <v>-7.0244973189823794</v>
      </c>
      <c r="AO14" s="692"/>
      <c r="AP14" s="692"/>
    </row>
    <row r="15" spans="1:42" ht="15.75" x14ac:dyDescent="0.25">
      <c r="A15" s="31"/>
      <c r="B15" s="772" t="s">
        <v>87</v>
      </c>
      <c r="C15" s="773">
        <f>C8</f>
        <v>250</v>
      </c>
      <c r="D15" s="774" t="str">
        <f>IF(AA45=0,"",AA45)</f>
        <v/>
      </c>
      <c r="E15" s="775" t="str">
        <f>IF(D15="","",D15*C15)</f>
        <v/>
      </c>
      <c r="F15" s="777"/>
      <c r="G15" s="764"/>
      <c r="H15" s="764"/>
      <c r="I15" s="764"/>
      <c r="J15" s="764"/>
      <c r="K15" s="764"/>
      <c r="L15" s="764"/>
      <c r="M15" s="764"/>
      <c r="N15" s="764"/>
      <c r="O15" s="764"/>
      <c r="P15" s="764"/>
      <c r="Q15" s="764"/>
      <c r="R15" s="764"/>
      <c r="S15" s="764"/>
      <c r="T15" s="764"/>
      <c r="U15" s="689"/>
      <c r="V15" s="689"/>
      <c r="W15" s="689"/>
      <c r="X15" s="689"/>
      <c r="Y15" s="706"/>
      <c r="Z15" s="690"/>
      <c r="AA15" s="708"/>
      <c r="AB15" s="709"/>
      <c r="AC15" s="691"/>
      <c r="AD15" s="691"/>
      <c r="AE15" s="699">
        <f t="shared" si="6"/>
        <v>5.5899999999999981</v>
      </c>
      <c r="AF15" s="699">
        <f t="shared" si="1"/>
        <v>-0.3000000000000016</v>
      </c>
      <c r="AG15" s="694">
        <f>$U$6*AE15+$C$6*Summary!$C$7</f>
        <v>617415.49999999977</v>
      </c>
      <c r="AH15" s="689">
        <f>$U$7*AE15*Inputs!$D$14*0.01+$C$7*Summary!$C$7*Inputs!$D$15*0.01</f>
        <v>0</v>
      </c>
      <c r="AI15" s="694">
        <f>$U$8*AE15*0.8+$C$8*Summary!$C$7*0.75</f>
        <v>19117.799999999996</v>
      </c>
      <c r="AJ15" s="704">
        <f t="shared" si="2"/>
        <v>120000</v>
      </c>
      <c r="AK15" s="704">
        <f t="shared" si="3"/>
        <v>756533.29999999981</v>
      </c>
      <c r="AL15" s="704">
        <f t="shared" si="4"/>
        <v>780268.78659491183</v>
      </c>
      <c r="AM15" s="704">
        <f t="shared" si="5"/>
        <v>-23735.486594912014</v>
      </c>
      <c r="AN15" s="705">
        <f>+AM15/Summary!$C$4</f>
        <v>-4.7470973189824024</v>
      </c>
      <c r="AO15" s="692"/>
      <c r="AP15" s="692"/>
    </row>
    <row r="16" spans="1:42" ht="15.75" x14ac:dyDescent="0.25">
      <c r="A16" s="31"/>
      <c r="B16" s="769" t="s">
        <v>598</v>
      </c>
      <c r="C16" s="773">
        <f>C9</f>
        <v>4950</v>
      </c>
      <c r="D16" s="769"/>
      <c r="E16" s="778">
        <f>SUM(E13:E15)</f>
        <v>0</v>
      </c>
      <c r="F16" s="779">
        <f>+E16</f>
        <v>0</v>
      </c>
      <c r="G16" s="764"/>
      <c r="H16" s="764"/>
      <c r="I16" s="764"/>
      <c r="J16" s="764"/>
      <c r="K16" s="764"/>
      <c r="L16" s="764"/>
      <c r="M16" s="764"/>
      <c r="N16" s="764"/>
      <c r="O16" s="764"/>
      <c r="P16" s="764"/>
      <c r="Q16" s="764"/>
      <c r="R16" s="764"/>
      <c r="S16" s="764"/>
      <c r="T16" s="764"/>
      <c r="U16" s="689"/>
      <c r="V16" s="689"/>
      <c r="W16" s="689"/>
      <c r="X16" s="689"/>
      <c r="Y16" s="697" t="s">
        <v>130</v>
      </c>
      <c r="Z16" s="689">
        <f>+E53</f>
        <v>107800.00000000001</v>
      </c>
      <c r="AA16" s="689">
        <f>+Z16*0.9</f>
        <v>97020.000000000015</v>
      </c>
      <c r="AB16" s="709"/>
      <c r="AC16" s="691"/>
      <c r="AD16" s="691"/>
      <c r="AE16" s="699">
        <f t="shared" si="6"/>
        <v>5.6899999999999977</v>
      </c>
      <c r="AF16" s="699">
        <f t="shared" si="1"/>
        <v>-0.20000000000000195</v>
      </c>
      <c r="AG16" s="694">
        <f>$U$6*AE16+$C$6*Summary!$C$7</f>
        <v>628460.49999999977</v>
      </c>
      <c r="AH16" s="689">
        <f>$U$7*AE16*Inputs!$D$14*0.01+$C$7*Summary!$C$7*Inputs!$D$15*0.01</f>
        <v>0</v>
      </c>
      <c r="AI16" s="694">
        <f>$U$8*AE16*0.8+$C$8*Summary!$C$7*0.75</f>
        <v>19459.799999999992</v>
      </c>
      <c r="AJ16" s="704">
        <f t="shared" si="2"/>
        <v>120000</v>
      </c>
      <c r="AK16" s="704">
        <f t="shared" si="3"/>
        <v>767920.29999999981</v>
      </c>
      <c r="AL16" s="704">
        <f t="shared" si="4"/>
        <v>780268.78659491183</v>
      </c>
      <c r="AM16" s="704">
        <f t="shared" si="5"/>
        <v>-12348.486594912014</v>
      </c>
      <c r="AN16" s="705">
        <f>+AM16/Summary!$C$4</f>
        <v>-2.4696973189824027</v>
      </c>
      <c r="AO16" s="692"/>
      <c r="AP16" s="692"/>
    </row>
    <row r="17" spans="1:42" ht="15.75" x14ac:dyDescent="0.25">
      <c r="A17" s="31"/>
      <c r="B17" s="34" t="s">
        <v>95</v>
      </c>
      <c r="C17" s="67"/>
      <c r="D17" s="67"/>
      <c r="E17" s="81"/>
      <c r="F17" s="67"/>
      <c r="G17" s="31"/>
      <c r="H17" s="31"/>
      <c r="I17" s="31"/>
      <c r="J17" s="31"/>
      <c r="K17" s="31"/>
      <c r="L17" s="31"/>
      <c r="M17" s="31"/>
      <c r="N17" s="31"/>
      <c r="O17" s="31"/>
      <c r="P17" s="31"/>
      <c r="Q17" s="31"/>
      <c r="R17" s="31"/>
      <c r="S17" s="31"/>
      <c r="T17" s="31"/>
      <c r="U17" s="692"/>
      <c r="V17" s="689"/>
      <c r="W17" s="689"/>
      <c r="X17" s="689"/>
      <c r="Y17" s="697" t="s">
        <v>132</v>
      </c>
      <c r="Z17" s="689"/>
      <c r="AA17" s="695">
        <f>(+Z16-AA16)/C24</f>
        <v>2.1560000000000001</v>
      </c>
      <c r="AB17" s="709"/>
      <c r="AC17" s="691"/>
      <c r="AD17" s="691"/>
      <c r="AE17" s="699">
        <f>+AE16+0.1</f>
        <v>5.7899999999999974</v>
      </c>
      <c r="AF17" s="699">
        <f t="shared" si="1"/>
        <v>-0.10000000000000231</v>
      </c>
      <c r="AG17" s="694">
        <f>$U$6*AE17+$C$6*Summary!$C$7</f>
        <v>639505.49999999977</v>
      </c>
      <c r="AH17" s="689">
        <f>$U$7*AE17*Inputs!$D$14*0.01+$C$7*Summary!$C$7*Inputs!$D$15*0.01</f>
        <v>0</v>
      </c>
      <c r="AI17" s="694">
        <f>$U$8*AE17*0.8+$C$8*Summary!$C$7*0.75</f>
        <v>19801.799999999992</v>
      </c>
      <c r="AJ17" s="704">
        <f t="shared" si="2"/>
        <v>120000</v>
      </c>
      <c r="AK17" s="704">
        <f t="shared" si="3"/>
        <v>779307.29999999981</v>
      </c>
      <c r="AL17" s="704">
        <f t="shared" si="4"/>
        <v>780268.78659491183</v>
      </c>
      <c r="AM17" s="704">
        <f t="shared" si="5"/>
        <v>-961.48659491201397</v>
      </c>
      <c r="AN17" s="705">
        <f>+AM17/Summary!$C$4</f>
        <v>-0.19229731898240279</v>
      </c>
      <c r="AO17" s="692"/>
      <c r="AP17" s="692"/>
    </row>
    <row r="18" spans="1:42" ht="15.75" x14ac:dyDescent="0.25">
      <c r="A18" s="31"/>
      <c r="B18" s="773" t="s">
        <v>61</v>
      </c>
      <c r="C18" s="773">
        <f>+Summary!$C$4*Inputs!E19*0.01</f>
        <v>5000</v>
      </c>
      <c r="D18" s="774">
        <f>+Inputs!D9*Inputs!D10</f>
        <v>24</v>
      </c>
      <c r="E18" s="775">
        <f>+D18*C18</f>
        <v>120000</v>
      </c>
      <c r="F18" s="780"/>
      <c r="G18" s="31"/>
      <c r="H18" s="31"/>
      <c r="I18" s="31"/>
      <c r="J18" s="31"/>
      <c r="K18" s="31"/>
      <c r="L18" s="31"/>
      <c r="M18" s="31"/>
      <c r="N18" s="31"/>
      <c r="O18" s="31"/>
      <c r="P18" s="31"/>
      <c r="Q18" s="31"/>
      <c r="R18" s="31"/>
      <c r="S18" s="31"/>
      <c r="T18" s="31"/>
      <c r="U18" s="692"/>
      <c r="V18" s="689"/>
      <c r="W18" s="689"/>
      <c r="X18" s="689"/>
      <c r="Y18" s="706"/>
      <c r="Z18" s="690"/>
      <c r="AA18" s="708"/>
      <c r="AB18" s="709"/>
      <c r="AC18" s="691"/>
      <c r="AD18" s="691"/>
      <c r="AE18" s="710">
        <f t="shared" si="6"/>
        <v>5.889999999999997</v>
      </c>
      <c r="AF18" s="710">
        <f t="shared" si="1"/>
        <v>0</v>
      </c>
      <c r="AG18" s="694">
        <f>$U$6*AE18+$C$6*Summary!$C$7</f>
        <v>650550.49999999965</v>
      </c>
      <c r="AH18" s="689">
        <f>$U$7*AE18*Inputs!$D$14*0.01+$C$7*Summary!$C$7*Inputs!$D$15*0.01</f>
        <v>0</v>
      </c>
      <c r="AI18" s="694">
        <f>$U$8*AE18*0.8+$C$8*Summary!$C$7*0.75</f>
        <v>20143.799999999988</v>
      </c>
      <c r="AJ18" s="704">
        <f t="shared" si="2"/>
        <v>120000</v>
      </c>
      <c r="AK18" s="704">
        <f t="shared" si="3"/>
        <v>790694.29999999958</v>
      </c>
      <c r="AL18" s="704">
        <f t="shared" si="4"/>
        <v>780268.78659491183</v>
      </c>
      <c r="AM18" s="704">
        <f t="shared" si="5"/>
        <v>10425.513405087753</v>
      </c>
      <c r="AN18" s="705">
        <f>+AM18/Summary!$C$4</f>
        <v>2.0851026810175508</v>
      </c>
      <c r="AO18" s="692"/>
      <c r="AP18" s="692"/>
    </row>
    <row r="19" spans="1:42" ht="15.75" x14ac:dyDescent="0.25">
      <c r="A19" s="31"/>
      <c r="B19" s="773" t="s">
        <v>6</v>
      </c>
      <c r="C19" s="773">
        <f>+Summary!$C$4*Inputs!E20*0.01</f>
        <v>0</v>
      </c>
      <c r="D19" s="774">
        <f>Inputs!D11*Inputs!D12</f>
        <v>0</v>
      </c>
      <c r="E19" s="775">
        <f>+D19*C19</f>
        <v>0</v>
      </c>
      <c r="F19" s="777"/>
      <c r="G19" s="31"/>
      <c r="H19" s="31"/>
      <c r="I19" s="31"/>
      <c r="J19" s="31"/>
      <c r="K19" s="31"/>
      <c r="L19" s="31"/>
      <c r="M19" s="31"/>
      <c r="N19" s="31"/>
      <c r="O19" s="31"/>
      <c r="P19" s="31"/>
      <c r="Q19" s="31"/>
      <c r="R19" s="31"/>
      <c r="S19" s="31"/>
      <c r="T19" s="31"/>
      <c r="U19" s="692"/>
      <c r="V19" s="689"/>
      <c r="W19" s="689"/>
      <c r="X19" s="689"/>
      <c r="Y19" s="711" t="s">
        <v>200</v>
      </c>
      <c r="Z19" s="711"/>
      <c r="AA19" s="690"/>
      <c r="AB19" s="699">
        <f>+AA17</f>
        <v>2.1560000000000001</v>
      </c>
      <c r="AC19" s="695">
        <f>AB19*-1</f>
        <v>-2.1560000000000001</v>
      </c>
      <c r="AD19" s="691"/>
      <c r="AE19" s="699">
        <f t="shared" si="6"/>
        <v>5.9899999999999967</v>
      </c>
      <c r="AF19" s="699">
        <f t="shared" si="1"/>
        <v>9.999999999999698E-2</v>
      </c>
      <c r="AG19" s="694">
        <f>$U$6*AE19+$C$6*Summary!$C$7</f>
        <v>661595.49999999965</v>
      </c>
      <c r="AH19" s="689">
        <f>$U$7*AE19*Inputs!$D$14*0.01+$C$7*Summary!$C$7*Inputs!$D$15*0.01</f>
        <v>0</v>
      </c>
      <c r="AI19" s="694">
        <f>$U$8*AE19*0.8+$C$8*Summary!$C$7*0.75</f>
        <v>20485.799999999988</v>
      </c>
      <c r="AJ19" s="704">
        <f t="shared" si="2"/>
        <v>120000</v>
      </c>
      <c r="AK19" s="704">
        <f t="shared" si="3"/>
        <v>802081.29999999958</v>
      </c>
      <c r="AL19" s="704">
        <f t="shared" si="4"/>
        <v>780268.78659491183</v>
      </c>
      <c r="AM19" s="704">
        <f t="shared" si="5"/>
        <v>21812.513405087753</v>
      </c>
      <c r="AN19" s="705">
        <f>+AM19/Summary!$C$4</f>
        <v>4.3625026810175509</v>
      </c>
      <c r="AO19" s="692"/>
      <c r="AP19" s="692"/>
    </row>
    <row r="20" spans="1:42" ht="15.75" x14ac:dyDescent="0.25">
      <c r="A20" s="31"/>
      <c r="B20" s="781" t="s">
        <v>93</v>
      </c>
      <c r="C20" s="770"/>
      <c r="D20" s="769"/>
      <c r="E20" s="782">
        <f>SUM(E18:E19)</f>
        <v>120000</v>
      </c>
      <c r="F20" s="779">
        <f>+E20</f>
        <v>120000</v>
      </c>
      <c r="G20" s="31"/>
      <c r="H20" s="31"/>
      <c r="I20" s="31"/>
      <c r="J20" s="31"/>
      <c r="K20" s="31"/>
      <c r="L20" s="31"/>
      <c r="M20" s="31"/>
      <c r="N20" s="31"/>
      <c r="O20" s="31"/>
      <c r="P20" s="31"/>
      <c r="Q20" s="31"/>
      <c r="R20" s="31"/>
      <c r="S20" s="31"/>
      <c r="T20" s="31"/>
      <c r="U20" s="692"/>
      <c r="V20" s="689"/>
      <c r="W20" s="689"/>
      <c r="X20" s="689"/>
      <c r="Y20" s="706" t="s">
        <v>201</v>
      </c>
      <c r="Z20" s="710"/>
      <c r="AA20" s="710"/>
      <c r="AB20" s="695">
        <f>+Summary!C5*0.1</f>
        <v>3.8000000000000003</v>
      </c>
      <c r="AC20" s="695">
        <f>AB20*-1</f>
        <v>-3.8000000000000003</v>
      </c>
      <c r="AD20" s="691"/>
      <c r="AE20" s="699">
        <f t="shared" si="6"/>
        <v>6.0899999999999963</v>
      </c>
      <c r="AF20" s="699">
        <f t="shared" si="1"/>
        <v>0.19999999999999662</v>
      </c>
      <c r="AG20" s="694">
        <f>$U$6*AE20+$C$6*Summary!$C$7</f>
        <v>672640.49999999953</v>
      </c>
      <c r="AH20" s="689">
        <f>$U$7*AE20*Inputs!$D$14*0.01+$C$7*Summary!$C$7*Inputs!$D$15*0.01</f>
        <v>0</v>
      </c>
      <c r="AI20" s="694">
        <f>$U$8*AE20*0.8+$C$8*Summary!$C$7*0.75</f>
        <v>20827.799999999988</v>
      </c>
      <c r="AJ20" s="704">
        <f t="shared" si="2"/>
        <v>120000</v>
      </c>
      <c r="AK20" s="704">
        <f t="shared" si="3"/>
        <v>813468.29999999958</v>
      </c>
      <c r="AL20" s="704">
        <f t="shared" si="4"/>
        <v>780268.78659491183</v>
      </c>
      <c r="AM20" s="704">
        <f t="shared" si="5"/>
        <v>33199.513405087753</v>
      </c>
      <c r="AN20" s="705">
        <f>+AM20/Summary!$C$4</f>
        <v>6.639902681017551</v>
      </c>
      <c r="AO20" s="692"/>
      <c r="AP20" s="692"/>
    </row>
    <row r="21" spans="1:42" ht="15.75" x14ac:dyDescent="0.25">
      <c r="A21" s="31"/>
      <c r="B21" s="31"/>
      <c r="C21" s="783"/>
      <c r="D21" s="31"/>
      <c r="E21" s="946" t="s">
        <v>94</v>
      </c>
      <c r="F21" s="946"/>
      <c r="G21" s="784">
        <f>SUM(F9:F20)</f>
        <v>790609</v>
      </c>
      <c r="H21" s="784"/>
      <c r="I21" s="784"/>
      <c r="J21" s="784"/>
      <c r="K21" s="784"/>
      <c r="L21" s="784"/>
      <c r="M21" s="784"/>
      <c r="N21" s="784"/>
      <c r="O21" s="784"/>
      <c r="P21" s="784"/>
      <c r="Q21" s="784"/>
      <c r="R21" s="784"/>
      <c r="S21" s="784"/>
      <c r="T21" s="784"/>
      <c r="U21" s="689"/>
      <c r="V21" s="689"/>
      <c r="W21" s="689"/>
      <c r="X21" s="689"/>
      <c r="Y21" s="692"/>
      <c r="Z21" s="692"/>
      <c r="AA21" s="692"/>
      <c r="AB21" s="692"/>
      <c r="AC21" s="692"/>
      <c r="AD21" s="691"/>
      <c r="AE21" s="699">
        <f t="shared" si="6"/>
        <v>6.1899999999999959</v>
      </c>
      <c r="AF21" s="699">
        <f t="shared" si="1"/>
        <v>0.29999999999999627</v>
      </c>
      <c r="AG21" s="694">
        <f>$U$6*AE21+$C$6*Summary!$C$7</f>
        <v>683685.49999999953</v>
      </c>
      <c r="AH21" s="689">
        <f>$U$7*AE21*Inputs!$D$14*0.01+$C$7*Summary!$C$7*Inputs!$D$15*0.01</f>
        <v>0</v>
      </c>
      <c r="AI21" s="694">
        <f>$U$8*AE21*0.8+$C$8*Summary!$C$7*0.75</f>
        <v>21169.799999999988</v>
      </c>
      <c r="AJ21" s="704">
        <f t="shared" si="2"/>
        <v>120000</v>
      </c>
      <c r="AK21" s="704">
        <f t="shared" si="3"/>
        <v>824855.29999999958</v>
      </c>
      <c r="AL21" s="704">
        <f t="shared" si="4"/>
        <v>780268.78659491183</v>
      </c>
      <c r="AM21" s="704">
        <f t="shared" si="5"/>
        <v>44586.513405087753</v>
      </c>
      <c r="AN21" s="705">
        <f>+AM21/Summary!$C$4</f>
        <v>8.9173026810175511</v>
      </c>
      <c r="AO21" s="692"/>
      <c r="AP21" s="692"/>
    </row>
    <row r="22" spans="1:42" ht="15.75" x14ac:dyDescent="0.25">
      <c r="A22" s="31"/>
      <c r="B22" s="767"/>
      <c r="C22" s="81"/>
      <c r="D22" s="81"/>
      <c r="E22" s="81"/>
      <c r="F22" s="67"/>
      <c r="G22" s="764"/>
      <c r="H22" s="764"/>
      <c r="I22" s="764"/>
      <c r="J22" s="764"/>
      <c r="K22" s="764"/>
      <c r="L22" s="764"/>
      <c r="M22" s="764"/>
      <c r="N22" s="764"/>
      <c r="O22" s="764"/>
      <c r="P22" s="764"/>
      <c r="Q22" s="764"/>
      <c r="R22" s="764"/>
      <c r="S22" s="764"/>
      <c r="T22" s="764"/>
      <c r="U22" s="689"/>
      <c r="V22" s="691"/>
      <c r="W22" s="691"/>
      <c r="X22" s="691"/>
      <c r="Y22" s="692"/>
      <c r="Z22" s="692"/>
      <c r="AA22" s="692"/>
      <c r="AB22" s="694"/>
      <c r="AC22" s="691"/>
      <c r="AD22" s="691"/>
      <c r="AE22" s="699">
        <f t="shared" si="6"/>
        <v>6.2899999999999956</v>
      </c>
      <c r="AF22" s="699">
        <f t="shared" si="1"/>
        <v>0.39999999999999591</v>
      </c>
      <c r="AG22" s="694">
        <f>$U$6*AE22+$C$6*Summary!$C$7</f>
        <v>694730.49999999953</v>
      </c>
      <c r="AH22" s="689">
        <f>$U$7*AE22*Inputs!$D$14*0.01+$C$7*Summary!$C$7*Inputs!$D$15*0.01</f>
        <v>0</v>
      </c>
      <c r="AI22" s="694">
        <f>$U$8*AE22*0.8+$C$8*Summary!$C$7*0.75</f>
        <v>21511.799999999988</v>
      </c>
      <c r="AJ22" s="704">
        <f t="shared" si="2"/>
        <v>120000</v>
      </c>
      <c r="AK22" s="704">
        <f t="shared" si="3"/>
        <v>836242.29999999958</v>
      </c>
      <c r="AL22" s="704">
        <f t="shared" si="4"/>
        <v>780268.78659491183</v>
      </c>
      <c r="AM22" s="704">
        <f t="shared" si="5"/>
        <v>55973.513405087753</v>
      </c>
      <c r="AN22" s="705">
        <f>+AM22/Summary!$C$4</f>
        <v>11.194702681017551</v>
      </c>
      <c r="AO22" s="692"/>
      <c r="AP22" s="692"/>
    </row>
    <row r="23" spans="1:42" ht="15.75" x14ac:dyDescent="0.25">
      <c r="A23" s="31"/>
      <c r="B23" s="280" t="s">
        <v>121</v>
      </c>
      <c r="C23" s="769" t="s">
        <v>13</v>
      </c>
      <c r="D23" s="769" t="s">
        <v>63</v>
      </c>
      <c r="E23" s="770" t="s">
        <v>90</v>
      </c>
      <c r="F23" s="771" t="s">
        <v>92</v>
      </c>
      <c r="G23" s="764"/>
      <c r="H23" s="764"/>
      <c r="I23" s="764"/>
      <c r="J23" s="764"/>
      <c r="K23" s="764"/>
      <c r="L23" s="764"/>
      <c r="M23" s="764"/>
      <c r="N23" s="764"/>
      <c r="O23" s="764"/>
      <c r="P23" s="764"/>
      <c r="Q23" s="764"/>
      <c r="R23" s="764"/>
      <c r="S23" s="764"/>
      <c r="T23" s="764"/>
      <c r="U23" s="689"/>
      <c r="V23" s="691"/>
      <c r="W23" s="691"/>
      <c r="X23" s="691"/>
      <c r="Y23" s="692"/>
      <c r="Z23" s="692"/>
      <c r="AA23" s="692"/>
      <c r="AB23" s="694"/>
      <c r="AC23" s="691"/>
      <c r="AD23" s="691"/>
      <c r="AE23" s="699">
        <f t="shared" si="6"/>
        <v>6.3899999999999952</v>
      </c>
      <c r="AF23" s="699">
        <f t="shared" si="1"/>
        <v>0.49999999999999556</v>
      </c>
      <c r="AG23" s="694">
        <f>$U$6*AE23+$C$6*Summary!$C$7</f>
        <v>705775.49999999942</v>
      </c>
      <c r="AH23" s="689">
        <f>$U$7*AE23*Inputs!$D$14*0.01+$C$7*Summary!$C$7*Inputs!$D$15*0.01</f>
        <v>0</v>
      </c>
      <c r="AI23" s="694">
        <f>$U$8*AE23*0.8+$C$8*Summary!$C$7*0.75</f>
        <v>21853.799999999985</v>
      </c>
      <c r="AJ23" s="704">
        <f t="shared" si="2"/>
        <v>120000</v>
      </c>
      <c r="AK23" s="704">
        <f t="shared" si="3"/>
        <v>847629.29999999935</v>
      </c>
      <c r="AL23" s="704">
        <f t="shared" si="4"/>
        <v>780268.78659491183</v>
      </c>
      <c r="AM23" s="704">
        <f t="shared" si="5"/>
        <v>67360.51340508752</v>
      </c>
      <c r="AN23" s="705">
        <f>+AM23/Summary!$C$4</f>
        <v>13.472102681017503</v>
      </c>
      <c r="AO23" s="692"/>
      <c r="AP23" s="692"/>
    </row>
    <row r="24" spans="1:42" ht="15.75" x14ac:dyDescent="0.25">
      <c r="A24" s="31"/>
      <c r="B24" s="772" t="s">
        <v>0</v>
      </c>
      <c r="C24" s="785">
        <f>+Summary!C4</f>
        <v>5000</v>
      </c>
      <c r="D24" s="786">
        <f>IF(Summary!C8&gt;0.1,Summary!C8,Summary!C6*Summary!C5+Summary!C7+Summary!C8)</f>
        <v>113</v>
      </c>
      <c r="E24" s="787">
        <f>+D24*C24</f>
        <v>565000</v>
      </c>
      <c r="F24" s="788"/>
      <c r="G24" s="764"/>
      <c r="H24" s="764"/>
      <c r="I24" s="764"/>
      <c r="J24" s="764"/>
      <c r="K24" s="764"/>
      <c r="L24" s="764"/>
      <c r="M24" s="764"/>
      <c r="N24" s="764"/>
      <c r="O24" s="764"/>
      <c r="P24" s="764"/>
      <c r="Q24" s="764"/>
      <c r="R24" s="764"/>
      <c r="S24" s="764"/>
      <c r="T24" s="764"/>
      <c r="U24" s="692" t="s">
        <v>396</v>
      </c>
      <c r="V24" s="691"/>
      <c r="W24" s="691"/>
      <c r="X24" s="691"/>
      <c r="Y24" s="697"/>
      <c r="Z24" s="689"/>
      <c r="AA24" s="689"/>
      <c r="AB24" s="694"/>
      <c r="AC24" s="691"/>
      <c r="AD24" s="691"/>
      <c r="AE24" s="699">
        <f t="shared" si="6"/>
        <v>6.4899999999999949</v>
      </c>
      <c r="AF24" s="699">
        <f t="shared" si="1"/>
        <v>0.5999999999999952</v>
      </c>
      <c r="AG24" s="694">
        <f>$U$6*AE24+$C$6*Summary!$C$7</f>
        <v>716820.49999999942</v>
      </c>
      <c r="AH24" s="689">
        <f>$U$7*AE24*Inputs!$D$14*0.01+$C$7*Summary!$C$7*Inputs!$D$15*0.01</f>
        <v>0</v>
      </c>
      <c r="AI24" s="694">
        <f>$U$8*AE24*0.8+$C$8*Summary!$C$7*0.75</f>
        <v>22195.799999999985</v>
      </c>
      <c r="AJ24" s="704">
        <f t="shared" si="2"/>
        <v>120000</v>
      </c>
      <c r="AK24" s="704">
        <f t="shared" si="3"/>
        <v>859016.29999999935</v>
      </c>
      <c r="AL24" s="704">
        <f t="shared" si="4"/>
        <v>780268.78659491183</v>
      </c>
      <c r="AM24" s="704">
        <f t="shared" si="5"/>
        <v>78747.51340508752</v>
      </c>
      <c r="AN24" s="705">
        <f>+AM24/Summary!$C$4</f>
        <v>15.749502681017503</v>
      </c>
      <c r="AO24" s="692"/>
      <c r="AP24" s="692"/>
    </row>
    <row r="25" spans="1:42" ht="15.75" x14ac:dyDescent="0.25">
      <c r="A25" s="31"/>
      <c r="B25" s="772" t="s">
        <v>7</v>
      </c>
      <c r="C25" s="775">
        <f>$C$24</f>
        <v>5000</v>
      </c>
      <c r="D25" s="786">
        <f>Inputs!D33*0.01*Summary!D8</f>
        <v>0</v>
      </c>
      <c r="E25" s="787">
        <f>+D25*C25</f>
        <v>0</v>
      </c>
      <c r="F25" s="789"/>
      <c r="G25" s="764"/>
      <c r="H25" s="764"/>
      <c r="I25" s="764"/>
      <c r="J25" s="764"/>
      <c r="K25" s="764"/>
      <c r="L25" s="764"/>
      <c r="M25" s="764"/>
      <c r="N25" s="764"/>
      <c r="O25" s="764"/>
      <c r="P25" s="764"/>
      <c r="Q25" s="764"/>
      <c r="R25" s="764"/>
      <c r="S25" s="764"/>
      <c r="T25" s="764"/>
      <c r="U25" s="692" t="s">
        <v>396</v>
      </c>
      <c r="V25" s="691"/>
      <c r="W25" s="691"/>
      <c r="X25" s="691"/>
      <c r="Y25" s="692"/>
      <c r="Z25" s="692"/>
      <c r="AA25" s="692"/>
      <c r="AB25" s="692"/>
      <c r="AC25" s="692"/>
      <c r="AD25" s="691"/>
      <c r="AE25" s="699">
        <f t="shared" si="6"/>
        <v>6.5899999999999945</v>
      </c>
      <c r="AF25" s="699">
        <f t="shared" si="1"/>
        <v>0.69999999999999485</v>
      </c>
      <c r="AG25" s="694">
        <f>$U$6*AE25+$C$6*Summary!$C$7</f>
        <v>727865.49999999942</v>
      </c>
      <c r="AH25" s="689">
        <f>$U$7*AE25*Inputs!$D$14*0.01+$C$7*Summary!$C$7*Inputs!$D$15*0.01</f>
        <v>0</v>
      </c>
      <c r="AI25" s="694">
        <f>$U$8*AE25*0.8+$C$8*Summary!$C$7*0.75</f>
        <v>22537.799999999985</v>
      </c>
      <c r="AJ25" s="704">
        <f t="shared" si="2"/>
        <v>120000</v>
      </c>
      <c r="AK25" s="704">
        <f t="shared" si="3"/>
        <v>870403.29999999935</v>
      </c>
      <c r="AL25" s="704">
        <f t="shared" si="4"/>
        <v>780268.78659491183</v>
      </c>
      <c r="AM25" s="704">
        <f t="shared" si="5"/>
        <v>90134.51340508752</v>
      </c>
      <c r="AN25" s="705">
        <f>+AM25/Summary!$C$4</f>
        <v>18.026902681017503</v>
      </c>
      <c r="AO25" s="692"/>
      <c r="AP25" s="692"/>
    </row>
    <row r="26" spans="1:42" ht="15.75" x14ac:dyDescent="0.25">
      <c r="A26" s="31"/>
      <c r="B26" s="772" t="s">
        <v>109</v>
      </c>
      <c r="C26" s="775">
        <f>C9</f>
        <v>4950</v>
      </c>
      <c r="D26" s="786">
        <f>E26/C26</f>
        <v>6.7738282828282825</v>
      </c>
      <c r="E26" s="775">
        <f>(F9+F16)*Inputs!D34*0.01</f>
        <v>33530.449999999997</v>
      </c>
      <c r="F26" s="789"/>
      <c r="G26" s="764"/>
      <c r="H26" s="764"/>
      <c r="I26" s="764"/>
      <c r="J26" s="764"/>
      <c r="K26" s="764"/>
      <c r="L26" s="764"/>
      <c r="M26" s="764"/>
      <c r="N26" s="764"/>
      <c r="O26" s="764"/>
      <c r="P26" s="764"/>
      <c r="Q26" s="764"/>
      <c r="R26" s="764"/>
      <c r="S26" s="764"/>
      <c r="T26" s="764"/>
      <c r="U26" s="712" t="s">
        <v>404</v>
      </c>
      <c r="V26" s="690"/>
      <c r="W26" s="690"/>
      <c r="X26" s="690"/>
      <c r="Y26" s="692"/>
      <c r="Z26" s="692"/>
      <c r="AA26" s="692"/>
      <c r="AB26" s="692"/>
      <c r="AC26" s="692"/>
      <c r="AD26" s="690"/>
      <c r="AE26" s="699">
        <f t="shared" si="6"/>
        <v>6.6899999999999942</v>
      </c>
      <c r="AF26" s="699">
        <f t="shared" si="1"/>
        <v>0.79999999999999449</v>
      </c>
      <c r="AG26" s="694">
        <f>$U$6*AE26+$C$6*Summary!$C$7</f>
        <v>738910.4999999993</v>
      </c>
      <c r="AH26" s="689">
        <f>$U$7*AE26*Inputs!$D$14*0.01+$C$7*Summary!$C$7*Inputs!$D$15*0.01</f>
        <v>0</v>
      </c>
      <c r="AI26" s="694">
        <f>$U$8*AE26*0.8+$C$8*Summary!$C$7*0.75</f>
        <v>22879.799999999981</v>
      </c>
      <c r="AJ26" s="704">
        <f t="shared" si="2"/>
        <v>120000</v>
      </c>
      <c r="AK26" s="704">
        <f t="shared" si="3"/>
        <v>881790.29999999923</v>
      </c>
      <c r="AL26" s="704">
        <f t="shared" si="4"/>
        <v>780268.78659491183</v>
      </c>
      <c r="AM26" s="704">
        <f t="shared" si="5"/>
        <v>101521.5134050874</v>
      </c>
      <c r="AN26" s="705">
        <f>+AM26/Summary!$C$4</f>
        <v>20.304302681017482</v>
      </c>
      <c r="AO26" s="692"/>
      <c r="AP26" s="692"/>
    </row>
    <row r="27" spans="1:42" ht="15.75" x14ac:dyDescent="0.25">
      <c r="A27" s="31"/>
      <c r="B27" s="772" t="str">
        <f>Inputs!B29</f>
        <v>Transport - In</v>
      </c>
      <c r="C27" s="775">
        <f>$C$24</f>
        <v>5000</v>
      </c>
      <c r="D27" s="786">
        <f>+Inputs!D29</f>
        <v>0</v>
      </c>
      <c r="E27" s="787">
        <f t="shared" ref="E27:E43" si="7">+D27*C27</f>
        <v>0</v>
      </c>
      <c r="F27" s="790"/>
      <c r="G27" s="67"/>
      <c r="H27" s="67"/>
      <c r="I27" s="67"/>
      <c r="J27" s="67"/>
      <c r="K27" s="67"/>
      <c r="L27" s="67"/>
      <c r="M27" s="67"/>
      <c r="N27" s="67"/>
      <c r="O27" s="67"/>
      <c r="P27" s="67"/>
      <c r="Q27" s="67"/>
      <c r="R27" s="67"/>
      <c r="S27" s="67"/>
      <c r="T27" s="67"/>
      <c r="U27" s="692" t="s">
        <v>396</v>
      </c>
      <c r="V27" s="700"/>
      <c r="W27" s="700"/>
      <c r="X27" s="700"/>
      <c r="Y27" s="706"/>
      <c r="Z27" s="699"/>
      <c r="AA27" s="689"/>
      <c r="AB27" s="691"/>
      <c r="AC27" s="691"/>
      <c r="AD27" s="691"/>
      <c r="AE27" s="692"/>
      <c r="AF27" s="692"/>
      <c r="AG27" s="692"/>
      <c r="AH27" s="692"/>
      <c r="AI27" s="692"/>
      <c r="AJ27" s="692"/>
      <c r="AK27" s="692"/>
      <c r="AL27" s="692"/>
      <c r="AM27" s="692"/>
      <c r="AN27" s="692"/>
      <c r="AO27" s="692"/>
      <c r="AP27" s="692"/>
    </row>
    <row r="28" spans="1:42" ht="15.75" x14ac:dyDescent="0.25">
      <c r="A28" s="31"/>
      <c r="B28" s="772" t="str">
        <f>Inputs!B30</f>
        <v>Transport - Out</v>
      </c>
      <c r="C28" s="775">
        <f>C9</f>
        <v>4950</v>
      </c>
      <c r="D28" s="786">
        <f>+Inputs!D30</f>
        <v>3</v>
      </c>
      <c r="E28" s="787">
        <f t="shared" si="7"/>
        <v>14850</v>
      </c>
      <c r="F28" s="791"/>
      <c r="G28" s="67"/>
      <c r="H28" s="67"/>
      <c r="I28" s="67"/>
      <c r="J28" s="67"/>
      <c r="K28" s="67"/>
      <c r="L28" s="67"/>
      <c r="M28" s="67"/>
      <c r="N28" s="67"/>
      <c r="O28" s="67"/>
      <c r="P28" s="67"/>
      <c r="Q28" s="67"/>
      <c r="R28" s="67"/>
      <c r="S28" s="67"/>
      <c r="T28" s="67"/>
      <c r="U28" s="692" t="s">
        <v>397</v>
      </c>
      <c r="V28" s="691"/>
      <c r="W28" s="691"/>
      <c r="X28" s="691"/>
      <c r="Y28" s="697"/>
      <c r="Z28" s="697"/>
      <c r="AA28" s="697"/>
      <c r="AB28" s="691"/>
      <c r="AC28" s="691"/>
      <c r="AD28" s="691"/>
      <c r="AE28" s="692"/>
      <c r="AF28" s="692"/>
      <c r="AG28" s="692"/>
      <c r="AH28" s="692"/>
      <c r="AI28" s="692"/>
      <c r="AJ28" s="692"/>
      <c r="AK28" s="692"/>
      <c r="AL28" s="692"/>
      <c r="AM28" s="692"/>
      <c r="AN28" s="692"/>
      <c r="AO28" s="692"/>
      <c r="AP28" s="692"/>
    </row>
    <row r="29" spans="1:42" ht="15.75" x14ac:dyDescent="0.25">
      <c r="A29" s="31"/>
      <c r="B29" s="772" t="s">
        <v>61</v>
      </c>
      <c r="C29" s="785">
        <f>C18</f>
        <v>5000</v>
      </c>
      <c r="D29" s="786">
        <f>+Inputs!D19</f>
        <v>3</v>
      </c>
      <c r="E29" s="775">
        <f t="shared" si="7"/>
        <v>15000</v>
      </c>
      <c r="F29" s="791"/>
      <c r="G29" s="67"/>
      <c r="H29" s="67"/>
      <c r="I29" s="67"/>
      <c r="J29" s="67"/>
      <c r="K29" s="67"/>
      <c r="L29" s="67"/>
      <c r="M29" s="67"/>
      <c r="N29" s="67"/>
      <c r="O29" s="67"/>
      <c r="P29" s="67"/>
      <c r="Q29" s="67"/>
      <c r="R29" s="67"/>
      <c r="S29" s="67"/>
      <c r="T29" s="67"/>
      <c r="U29" s="692" t="s">
        <v>398</v>
      </c>
      <c r="V29" s="713"/>
      <c r="W29" s="753"/>
      <c r="X29" s="753" t="s">
        <v>516</v>
      </c>
      <c r="Y29" s="754"/>
      <c r="Z29" s="755" t="s">
        <v>424</v>
      </c>
      <c r="AA29" s="36" t="s">
        <v>543</v>
      </c>
      <c r="AB29" s="36"/>
      <c r="AC29" s="691"/>
      <c r="AD29" s="691"/>
      <c r="AE29" s="692"/>
      <c r="AF29" s="692"/>
      <c r="AG29" s="692"/>
      <c r="AH29" s="692"/>
      <c r="AI29" s="692"/>
      <c r="AJ29" s="692"/>
      <c r="AK29" s="692"/>
      <c r="AL29" s="692"/>
      <c r="AM29" s="692"/>
      <c r="AN29" s="692"/>
      <c r="AO29" s="692"/>
      <c r="AP29" s="692"/>
    </row>
    <row r="30" spans="1:42" ht="15.75" x14ac:dyDescent="0.25">
      <c r="A30" s="31"/>
      <c r="B30" s="772" t="s">
        <v>6</v>
      </c>
      <c r="C30" s="785">
        <f>C19</f>
        <v>0</v>
      </c>
      <c r="D30" s="786">
        <f>+Inputs!D20</f>
        <v>0</v>
      </c>
      <c r="E30" s="775">
        <f t="shared" si="7"/>
        <v>0</v>
      </c>
      <c r="F30" s="791"/>
      <c r="G30" s="67"/>
      <c r="H30" s="67"/>
      <c r="I30" s="67"/>
      <c r="J30" s="67"/>
      <c r="K30" s="67"/>
      <c r="L30" s="67"/>
      <c r="M30" s="67"/>
      <c r="N30" s="67"/>
      <c r="O30" s="67"/>
      <c r="P30" s="67"/>
      <c r="Q30" s="67"/>
      <c r="R30" s="67"/>
      <c r="S30" s="67"/>
      <c r="T30" s="67"/>
      <c r="U30" s="692" t="s">
        <v>398</v>
      </c>
      <c r="V30" s="714"/>
      <c r="W30" s="756"/>
      <c r="X30" s="756" t="s">
        <v>510</v>
      </c>
      <c r="Y30" s="43" t="s">
        <v>3</v>
      </c>
      <c r="Z30" s="757" t="str">
        <f>IF(Summary!C13&gt;0.01,"",Summary!C9*Summary!C12*Summary!C10*0.01)</f>
        <v/>
      </c>
      <c r="AA30" s="758" t="str">
        <f>IF(Z30="","",Summary!C11)</f>
        <v/>
      </c>
      <c r="AB30" s="758">
        <f>SUM(Z30:AA30)</f>
        <v>0</v>
      </c>
      <c r="AC30" s="691"/>
      <c r="AD30" s="691"/>
      <c r="AE30" s="692"/>
      <c r="AF30" s="692"/>
      <c r="AG30" s="692"/>
      <c r="AH30" s="692"/>
      <c r="AI30" s="692"/>
      <c r="AJ30" s="692"/>
      <c r="AK30" s="692"/>
      <c r="AL30" s="692"/>
      <c r="AM30" s="692"/>
      <c r="AN30" s="692"/>
      <c r="AO30" s="692"/>
      <c r="AP30" s="692"/>
    </row>
    <row r="31" spans="1:42" ht="15.75" x14ac:dyDescent="0.25">
      <c r="A31" s="31"/>
      <c r="B31" s="772" t="str">
        <f>Inputs!B21</f>
        <v xml:space="preserve">Drench </v>
      </c>
      <c r="C31" s="775">
        <f t="shared" ref="C31:C38" si="8">$C$24</f>
        <v>5000</v>
      </c>
      <c r="D31" s="786">
        <f>+Inputs!D21*Inputs!E21</f>
        <v>0.5</v>
      </c>
      <c r="E31" s="775">
        <f t="shared" si="7"/>
        <v>2500</v>
      </c>
      <c r="F31" s="791"/>
      <c r="G31" s="34"/>
      <c r="H31" s="34"/>
      <c r="I31" s="34"/>
      <c r="J31" s="34"/>
      <c r="K31" s="34"/>
      <c r="L31" s="34"/>
      <c r="M31" s="34"/>
      <c r="N31" s="34"/>
      <c r="O31" s="34"/>
      <c r="P31" s="34"/>
      <c r="Q31" s="34"/>
      <c r="R31" s="34"/>
      <c r="S31" s="34"/>
      <c r="T31" s="34"/>
      <c r="U31" s="692" t="s">
        <v>398</v>
      </c>
      <c r="V31" s="714"/>
      <c r="W31" s="756"/>
      <c r="X31" s="756" t="s">
        <v>510</v>
      </c>
      <c r="Y31" s="43" t="s">
        <v>511</v>
      </c>
      <c r="Z31" s="739">
        <f>IF(Summary!C13&gt;0.01,Summary!C13,"")</f>
        <v>135.47</v>
      </c>
      <c r="AA31" s="36"/>
      <c r="AB31" s="758">
        <f>SUM(Z31:AA31)</f>
        <v>135.47</v>
      </c>
      <c r="AC31" s="691"/>
      <c r="AD31" s="691"/>
      <c r="AE31" s="692"/>
      <c r="AF31" s="692"/>
      <c r="AG31" s="692"/>
      <c r="AH31" s="692"/>
      <c r="AI31" s="692"/>
      <c r="AJ31" s="692"/>
      <c r="AK31" s="692"/>
      <c r="AL31" s="692"/>
      <c r="AM31" s="692"/>
      <c r="AN31" s="692"/>
      <c r="AO31" s="692"/>
      <c r="AP31" s="692"/>
    </row>
    <row r="32" spans="1:42" ht="15.75" x14ac:dyDescent="0.25">
      <c r="A32" s="31"/>
      <c r="B32" s="772" t="str">
        <f>Inputs!B22</f>
        <v>Fly Control</v>
      </c>
      <c r="C32" s="775">
        <f t="shared" si="8"/>
        <v>5000</v>
      </c>
      <c r="D32" s="786">
        <f>+Inputs!D22*Inputs!E22</f>
        <v>0.25</v>
      </c>
      <c r="E32" s="775">
        <f t="shared" si="7"/>
        <v>1250</v>
      </c>
      <c r="F32" s="791"/>
      <c r="G32" s="31"/>
      <c r="H32" s="31"/>
      <c r="I32" s="31"/>
      <c r="J32" s="31"/>
      <c r="K32" s="31"/>
      <c r="L32" s="31"/>
      <c r="M32" s="31"/>
      <c r="N32" s="31"/>
      <c r="O32" s="31"/>
      <c r="P32" s="31"/>
      <c r="Q32" s="31"/>
      <c r="R32" s="31"/>
      <c r="S32" s="31"/>
      <c r="T32" s="31"/>
      <c r="U32" s="692" t="s">
        <v>398</v>
      </c>
      <c r="V32" s="714"/>
      <c r="W32" s="756"/>
      <c r="X32" s="756" t="s">
        <v>510</v>
      </c>
      <c r="Y32" s="759"/>
      <c r="Z32" s="760">
        <f>SUM(Z30:Z31)</f>
        <v>135.47</v>
      </c>
      <c r="AA32" s="760">
        <f>SUM(AA30:AA31)</f>
        <v>0</v>
      </c>
      <c r="AB32" s="761">
        <f>SUM(Z32:AA32)</f>
        <v>135.47</v>
      </c>
      <c r="AC32" s="691"/>
      <c r="AD32" s="691"/>
      <c r="AE32" s="692"/>
      <c r="AF32" s="692"/>
      <c r="AG32" s="692"/>
      <c r="AH32" s="692"/>
      <c r="AI32" s="692"/>
      <c r="AJ32" s="692"/>
      <c r="AK32" s="692"/>
      <c r="AL32" s="692"/>
      <c r="AM32" s="692"/>
      <c r="AN32" s="692"/>
      <c r="AO32" s="692"/>
      <c r="AP32" s="692"/>
    </row>
    <row r="33" spans="1:42" ht="15.75" x14ac:dyDescent="0.25">
      <c r="A33" s="31"/>
      <c r="B33" s="772" t="str">
        <f>Inputs!B23</f>
        <v>Other1</v>
      </c>
      <c r="C33" s="775">
        <f t="shared" si="8"/>
        <v>5000</v>
      </c>
      <c r="D33" s="786">
        <f>+Inputs!D23*Inputs!E23</f>
        <v>0</v>
      </c>
      <c r="E33" s="775">
        <f t="shared" si="7"/>
        <v>0</v>
      </c>
      <c r="F33" s="791"/>
      <c r="G33" s="67"/>
      <c r="H33" s="67"/>
      <c r="I33" s="67"/>
      <c r="J33" s="67"/>
      <c r="K33" s="67"/>
      <c r="L33" s="67"/>
      <c r="M33" s="67"/>
      <c r="N33" s="67"/>
      <c r="O33" s="67"/>
      <c r="P33" s="67"/>
      <c r="Q33" s="67"/>
      <c r="R33" s="67"/>
      <c r="S33" s="67"/>
      <c r="T33" s="67"/>
      <c r="U33" s="692" t="s">
        <v>398</v>
      </c>
      <c r="V33" s="714"/>
      <c r="W33" s="756"/>
      <c r="X33" s="756"/>
      <c r="Y33" s="43"/>
      <c r="Z33" s="739"/>
      <c r="AA33" s="36"/>
      <c r="AB33" s="36"/>
      <c r="AC33" s="691"/>
      <c r="AD33" s="691"/>
      <c r="AE33" s="692"/>
      <c r="AF33" s="692"/>
      <c r="AG33" s="692"/>
      <c r="AH33" s="692"/>
      <c r="AI33" s="692"/>
      <c r="AJ33" s="692"/>
      <c r="AK33" s="692"/>
      <c r="AL33" s="692"/>
      <c r="AM33" s="692"/>
      <c r="AN33" s="692"/>
      <c r="AO33" s="692"/>
      <c r="AP33" s="692"/>
    </row>
    <row r="34" spans="1:42" ht="15.75" x14ac:dyDescent="0.25">
      <c r="A34" s="31"/>
      <c r="B34" s="772" t="str">
        <f>Inputs!B24</f>
        <v>Other2</v>
      </c>
      <c r="C34" s="775">
        <f t="shared" si="8"/>
        <v>5000</v>
      </c>
      <c r="D34" s="786">
        <f>+Inputs!D24*Inputs!E24</f>
        <v>0</v>
      </c>
      <c r="E34" s="775">
        <f t="shared" si="7"/>
        <v>0</v>
      </c>
      <c r="F34" s="791"/>
      <c r="G34" s="281"/>
      <c r="H34" s="281"/>
      <c r="I34" s="281"/>
      <c r="J34" s="281"/>
      <c r="K34" s="281"/>
      <c r="L34" s="281"/>
      <c r="M34" s="281"/>
      <c r="N34" s="281"/>
      <c r="O34" s="281"/>
      <c r="P34" s="281"/>
      <c r="Q34" s="281"/>
      <c r="R34" s="281"/>
      <c r="S34" s="281"/>
      <c r="T34" s="281"/>
      <c r="U34" s="692" t="s">
        <v>398</v>
      </c>
      <c r="V34" s="715"/>
      <c r="W34" s="762"/>
      <c r="X34" s="762" t="s">
        <v>509</v>
      </c>
      <c r="Y34" s="43" t="s">
        <v>3</v>
      </c>
      <c r="Z34" s="763" t="str">
        <f>IF(Summary!C13&gt;0.01,"",IF(Inputs!D16&gt;0.01,"",Summary!C9*Summary!C10*Summary!C12*0.01*Inputs!D14*0.01))</f>
        <v/>
      </c>
      <c r="AA34" s="758" t="str">
        <f>IF(Z34="","",Summary!C11*Inputs!D15*0.01)</f>
        <v/>
      </c>
      <c r="AB34" s="758">
        <f>SUM(Z34:AA34)</f>
        <v>0</v>
      </c>
      <c r="AC34" s="691"/>
      <c r="AD34" s="691"/>
      <c r="AE34" s="691"/>
      <c r="AF34" s="691"/>
      <c r="AG34" s="691"/>
      <c r="AH34" s="691"/>
      <c r="AI34" s="691"/>
      <c r="AJ34" s="691"/>
      <c r="AK34" s="692"/>
      <c r="AL34" s="692"/>
      <c r="AM34" s="692"/>
      <c r="AN34" s="692"/>
      <c r="AO34" s="692"/>
      <c r="AP34" s="692"/>
    </row>
    <row r="35" spans="1:42" ht="15.75" x14ac:dyDescent="0.25">
      <c r="A35" s="31"/>
      <c r="B35" s="772" t="str">
        <f>Inputs!B25</f>
        <v xml:space="preserve">Lice Control </v>
      </c>
      <c r="C35" s="775">
        <f t="shared" si="8"/>
        <v>5000</v>
      </c>
      <c r="D35" s="786">
        <f>+Inputs!D25*Inputs!E25</f>
        <v>0</v>
      </c>
      <c r="E35" s="775">
        <f t="shared" si="7"/>
        <v>0</v>
      </c>
      <c r="F35" s="791"/>
      <c r="G35" s="792"/>
      <c r="H35" s="792"/>
      <c r="I35" s="792"/>
      <c r="J35" s="792"/>
      <c r="K35" s="792"/>
      <c r="L35" s="792"/>
      <c r="M35" s="792"/>
      <c r="N35" s="792"/>
      <c r="O35" s="792"/>
      <c r="P35" s="792"/>
      <c r="Q35" s="792"/>
      <c r="R35" s="792"/>
      <c r="S35" s="792"/>
      <c r="T35" s="792"/>
      <c r="U35" s="692" t="s">
        <v>398</v>
      </c>
      <c r="V35" s="712"/>
      <c r="W35" s="712"/>
      <c r="X35" s="762" t="s">
        <v>509</v>
      </c>
      <c r="Y35" s="43" t="s">
        <v>544</v>
      </c>
      <c r="Z35" s="43">
        <f>IF(Summary!C13="","",IF(Inputs!D16&gt;=0.01,"",Summary!C13*Inputs!D14*0.01))</f>
        <v>135.47</v>
      </c>
      <c r="AA35" s="758"/>
      <c r="AB35" s="758">
        <f>SUM(Z35:AA35)</f>
        <v>135.47</v>
      </c>
      <c r="AC35" s="691"/>
      <c r="AD35" s="691"/>
      <c r="AE35" s="691"/>
      <c r="AF35" s="691"/>
      <c r="AG35" s="691"/>
      <c r="AH35" s="691"/>
      <c r="AI35" s="691"/>
      <c r="AJ35" s="691"/>
      <c r="AK35" s="692"/>
      <c r="AL35" s="692"/>
      <c r="AM35" s="692"/>
      <c r="AN35" s="692"/>
      <c r="AO35" s="692"/>
      <c r="AP35" s="692"/>
    </row>
    <row r="36" spans="1:42" ht="15.75" x14ac:dyDescent="0.25">
      <c r="A36" s="31"/>
      <c r="B36" s="772" t="str">
        <f>Inputs!B26</f>
        <v>Vaccine (Vitamin A,D,E)</v>
      </c>
      <c r="C36" s="775">
        <f t="shared" si="8"/>
        <v>5000</v>
      </c>
      <c r="D36" s="786">
        <f>+Inputs!D26*Inputs!E26</f>
        <v>0.5</v>
      </c>
      <c r="E36" s="775">
        <f t="shared" si="7"/>
        <v>2500</v>
      </c>
      <c r="F36" s="791"/>
      <c r="G36" s="792"/>
      <c r="H36" s="792"/>
      <c r="I36" s="792"/>
      <c r="J36" s="792"/>
      <c r="K36" s="792"/>
      <c r="L36" s="792"/>
      <c r="M36" s="792"/>
      <c r="N36" s="792"/>
      <c r="O36" s="792"/>
      <c r="P36" s="792"/>
      <c r="Q36" s="792"/>
      <c r="R36" s="792"/>
      <c r="S36" s="792"/>
      <c r="T36" s="792"/>
      <c r="U36" s="692" t="s">
        <v>398</v>
      </c>
      <c r="V36" s="712"/>
      <c r="W36" s="712"/>
      <c r="X36" s="762" t="s">
        <v>509</v>
      </c>
      <c r="Y36" s="43" t="s">
        <v>512</v>
      </c>
      <c r="Z36" s="36" t="str">
        <f>IF(Inputs!D16&gt;0.01,Inputs!D16,"")</f>
        <v/>
      </c>
      <c r="AA36" s="36"/>
      <c r="AB36" s="758">
        <f>SUM(Z36:AA36)</f>
        <v>0</v>
      </c>
      <c r="AC36" s="691"/>
      <c r="AD36" s="691"/>
      <c r="AE36" s="691"/>
      <c r="AF36" s="691"/>
      <c r="AG36" s="691"/>
      <c r="AH36" s="691"/>
      <c r="AI36" s="691"/>
      <c r="AJ36" s="691"/>
      <c r="AK36" s="692"/>
      <c r="AL36" s="692"/>
      <c r="AM36" s="692"/>
      <c r="AN36" s="692"/>
      <c r="AO36" s="692"/>
      <c r="AP36" s="692"/>
    </row>
    <row r="37" spans="1:42" ht="15.75" x14ac:dyDescent="0.25">
      <c r="A37" s="31"/>
      <c r="B37" s="772" t="str">
        <f>Inputs!B27</f>
        <v>Vaccine (Vitamin B12)</v>
      </c>
      <c r="C37" s="775">
        <f t="shared" si="8"/>
        <v>5000</v>
      </c>
      <c r="D37" s="786">
        <f>+Inputs!D27*Inputs!E27</f>
        <v>0.5</v>
      </c>
      <c r="E37" s="775">
        <f t="shared" si="7"/>
        <v>2500</v>
      </c>
      <c r="F37" s="791"/>
      <c r="G37" s="792"/>
      <c r="H37" s="792"/>
      <c r="I37" s="792"/>
      <c r="J37" s="792"/>
      <c r="K37" s="792"/>
      <c r="L37" s="792"/>
      <c r="M37" s="792"/>
      <c r="N37" s="792"/>
      <c r="O37" s="792"/>
      <c r="P37" s="792"/>
      <c r="Q37" s="792"/>
      <c r="R37" s="792"/>
      <c r="S37" s="792"/>
      <c r="T37" s="792"/>
      <c r="U37" s="692" t="s">
        <v>398</v>
      </c>
      <c r="V37" s="712"/>
      <c r="W37" s="712"/>
      <c r="X37" s="762" t="s">
        <v>509</v>
      </c>
      <c r="Y37" s="43"/>
      <c r="Z37" s="712">
        <f>SUM(Z34:Z36)</f>
        <v>135.47</v>
      </c>
      <c r="AA37" s="712">
        <f>SUM(AA34:AA36)</f>
        <v>0</v>
      </c>
      <c r="AB37" s="761">
        <f>SUM(Z37:AA37)</f>
        <v>135.47</v>
      </c>
      <c r="AC37" s="691"/>
      <c r="AD37" s="691"/>
      <c r="AE37" s="691"/>
      <c r="AF37" s="691"/>
      <c r="AG37" s="691"/>
      <c r="AH37" s="691"/>
      <c r="AI37" s="691"/>
      <c r="AJ37" s="691"/>
      <c r="AK37" s="692"/>
      <c r="AL37" s="692"/>
      <c r="AM37" s="692"/>
      <c r="AN37" s="692"/>
      <c r="AO37" s="692"/>
      <c r="AP37" s="692"/>
    </row>
    <row r="38" spans="1:42" ht="15.75" x14ac:dyDescent="0.25">
      <c r="A38" s="31"/>
      <c r="B38" s="772" t="str">
        <f>Inputs!B28</f>
        <v>Vaccine (3,5 or 6 in 1)</v>
      </c>
      <c r="C38" s="775">
        <f t="shared" si="8"/>
        <v>5000</v>
      </c>
      <c r="D38" s="786">
        <f>+Inputs!D28*Inputs!E28</f>
        <v>0.3</v>
      </c>
      <c r="E38" s="775">
        <f t="shared" si="7"/>
        <v>1500</v>
      </c>
      <c r="F38" s="791"/>
      <c r="G38" s="792"/>
      <c r="H38" s="792"/>
      <c r="I38" s="792"/>
      <c r="J38" s="792"/>
      <c r="K38" s="792"/>
      <c r="L38" s="792"/>
      <c r="M38" s="792"/>
      <c r="N38" s="792"/>
      <c r="O38" s="792"/>
      <c r="P38" s="792"/>
      <c r="Q38" s="792"/>
      <c r="R38" s="792"/>
      <c r="S38" s="792"/>
      <c r="T38" s="792"/>
      <c r="U38" s="692" t="s">
        <v>398</v>
      </c>
      <c r="V38" s="712"/>
      <c r="W38" s="712"/>
      <c r="X38" s="712"/>
      <c r="Y38" s="43"/>
      <c r="Z38" s="43"/>
      <c r="AA38" s="36"/>
      <c r="AB38" s="36"/>
      <c r="AC38" s="691"/>
      <c r="AD38" s="691"/>
      <c r="AE38" s="691"/>
      <c r="AF38" s="691"/>
      <c r="AG38" s="691"/>
      <c r="AH38" s="691"/>
      <c r="AI38" s="691"/>
      <c r="AJ38" s="691"/>
      <c r="AK38" s="692"/>
      <c r="AL38" s="692"/>
      <c r="AM38" s="692"/>
      <c r="AN38" s="692"/>
      <c r="AO38" s="692"/>
      <c r="AP38" s="692"/>
    </row>
    <row r="39" spans="1:42" ht="15.75" x14ac:dyDescent="0.25">
      <c r="A39" s="31"/>
      <c r="B39" s="772" t="s">
        <v>97</v>
      </c>
      <c r="C39" s="775">
        <f>ROUND((C18*Inputs!D9+C19*Inputs!D11)/180,0)</f>
        <v>83</v>
      </c>
      <c r="D39" s="786">
        <f>+Inputs!D35</f>
        <v>8</v>
      </c>
      <c r="E39" s="775">
        <f t="shared" si="7"/>
        <v>664</v>
      </c>
      <c r="F39" s="793"/>
      <c r="G39" s="794"/>
      <c r="H39" s="794"/>
      <c r="I39" s="794"/>
      <c r="J39" s="794"/>
      <c r="K39" s="794"/>
      <c r="L39" s="794"/>
      <c r="M39" s="794"/>
      <c r="N39" s="794"/>
      <c r="O39" s="794"/>
      <c r="P39" s="794"/>
      <c r="Q39" s="794"/>
      <c r="R39" s="794"/>
      <c r="S39" s="794"/>
      <c r="T39" s="794"/>
      <c r="U39" s="692" t="s">
        <v>398</v>
      </c>
      <c r="V39" s="712"/>
      <c r="W39" s="712"/>
      <c r="X39" s="36"/>
      <c r="Y39" s="36"/>
      <c r="Z39" s="36"/>
      <c r="AA39" s="36"/>
      <c r="AB39" s="36"/>
      <c r="AC39" s="691"/>
      <c r="AD39" s="691"/>
      <c r="AE39" s="691"/>
      <c r="AF39" s="691"/>
      <c r="AG39" s="691"/>
      <c r="AH39" s="691"/>
      <c r="AI39" s="691"/>
      <c r="AJ39" s="691"/>
      <c r="AK39" s="692"/>
      <c r="AL39" s="692"/>
      <c r="AM39" s="692"/>
      <c r="AN39" s="692"/>
      <c r="AO39" s="692"/>
      <c r="AP39" s="692"/>
    </row>
    <row r="40" spans="1:42" ht="15.75" x14ac:dyDescent="0.25">
      <c r="A40" s="31"/>
      <c r="B40" s="772" t="s">
        <v>98</v>
      </c>
      <c r="C40" s="775">
        <f>+C39</f>
        <v>83</v>
      </c>
      <c r="D40" s="786">
        <f>+Inputs!D36</f>
        <v>12</v>
      </c>
      <c r="E40" s="775">
        <f t="shared" si="7"/>
        <v>996</v>
      </c>
      <c r="F40" s="791"/>
      <c r="G40" s="795"/>
      <c r="H40" s="795"/>
      <c r="I40" s="795"/>
      <c r="J40" s="795"/>
      <c r="K40" s="795"/>
      <c r="L40" s="795"/>
      <c r="M40" s="795"/>
      <c r="N40" s="795"/>
      <c r="O40" s="795"/>
      <c r="P40" s="795"/>
      <c r="Q40" s="795"/>
      <c r="R40" s="795"/>
      <c r="S40" s="795"/>
      <c r="T40" s="795"/>
      <c r="U40" s="692" t="s">
        <v>398</v>
      </c>
      <c r="V40" s="712"/>
      <c r="W40" s="712"/>
      <c r="X40" s="36"/>
      <c r="Y40" s="36"/>
      <c r="Z40" s="36"/>
      <c r="AA40" s="36"/>
      <c r="AB40" s="36"/>
      <c r="AC40" s="691"/>
      <c r="AD40" s="691"/>
      <c r="AE40" s="691"/>
      <c r="AF40" s="691"/>
      <c r="AG40" s="691"/>
      <c r="AH40" s="691"/>
      <c r="AI40" s="691"/>
      <c r="AJ40" s="691"/>
      <c r="AK40" s="692"/>
      <c r="AL40" s="692"/>
      <c r="AM40" s="692"/>
      <c r="AN40" s="692"/>
      <c r="AO40" s="692"/>
      <c r="AP40" s="692"/>
    </row>
    <row r="41" spans="1:42" ht="15.75" x14ac:dyDescent="0.25">
      <c r="A41" s="31"/>
      <c r="B41" s="772" t="str">
        <f>Inputs!B32</f>
        <v>Slaughter Levy</v>
      </c>
      <c r="C41" s="775">
        <f>C9</f>
        <v>4950</v>
      </c>
      <c r="D41" s="786">
        <f>Inputs!D32</f>
        <v>1.5</v>
      </c>
      <c r="E41" s="775">
        <f t="shared" si="7"/>
        <v>7425</v>
      </c>
      <c r="F41" s="791"/>
      <c r="G41" s="795"/>
      <c r="H41" s="795"/>
      <c r="I41" s="795"/>
      <c r="J41" s="795"/>
      <c r="K41" s="795"/>
      <c r="L41" s="795"/>
      <c r="M41" s="795"/>
      <c r="N41" s="795"/>
      <c r="O41" s="795"/>
      <c r="P41" s="795"/>
      <c r="Q41" s="795"/>
      <c r="R41" s="795"/>
      <c r="S41" s="795"/>
      <c r="T41" s="795"/>
      <c r="U41" s="712" t="s">
        <v>404</v>
      </c>
      <c r="V41" s="712"/>
      <c r="W41" s="712"/>
      <c r="X41" s="36"/>
      <c r="Y41" s="36"/>
      <c r="Z41" s="36"/>
      <c r="AA41" s="36"/>
      <c r="AB41" s="36"/>
      <c r="AC41" s="691"/>
      <c r="AD41" s="691"/>
      <c r="AE41" s="691"/>
      <c r="AF41" s="691"/>
      <c r="AG41" s="691"/>
      <c r="AH41" s="691"/>
      <c r="AI41" s="691"/>
      <c r="AJ41" s="691"/>
      <c r="AK41" s="692"/>
      <c r="AL41" s="692"/>
      <c r="AM41" s="692"/>
      <c r="AN41" s="692"/>
      <c r="AO41" s="692"/>
      <c r="AP41" s="692"/>
    </row>
    <row r="42" spans="1:42" ht="15.75" x14ac:dyDescent="0.25">
      <c r="A42" s="31"/>
      <c r="B42" s="772" t="str">
        <f>Inputs!B38</f>
        <v xml:space="preserve">Carcase Freight </v>
      </c>
      <c r="C42" s="775" t="str">
        <f>IF(D42=0,"",Summary!O15)</f>
        <v/>
      </c>
      <c r="D42" s="786">
        <f>Inputs!D38</f>
        <v>0</v>
      </c>
      <c r="E42" s="775">
        <f>IF(C42="",0,D42*C42)</f>
        <v>0</v>
      </c>
      <c r="F42" s="791"/>
      <c r="G42" s="795"/>
      <c r="H42" s="795"/>
      <c r="I42" s="795"/>
      <c r="J42" s="795"/>
      <c r="K42" s="795"/>
      <c r="L42" s="795"/>
      <c r="M42" s="795"/>
      <c r="N42" s="795"/>
      <c r="O42" s="795"/>
      <c r="P42" s="795"/>
      <c r="Q42" s="795"/>
      <c r="R42" s="795"/>
      <c r="S42" s="795"/>
      <c r="T42" s="795"/>
      <c r="U42" s="712" t="s">
        <v>404</v>
      </c>
      <c r="V42" s="712"/>
      <c r="W42" s="712"/>
      <c r="X42" s="712"/>
      <c r="Y42" s="43"/>
      <c r="Z42" s="43"/>
      <c r="AA42" s="36"/>
      <c r="AB42" s="36"/>
      <c r="AC42" s="691"/>
      <c r="AD42" s="691"/>
      <c r="AE42" s="691"/>
      <c r="AF42" s="691"/>
      <c r="AG42" s="691"/>
      <c r="AH42" s="691"/>
      <c r="AI42" s="691"/>
      <c r="AJ42" s="691"/>
      <c r="AK42" s="692"/>
      <c r="AL42" s="692"/>
      <c r="AM42" s="692"/>
      <c r="AN42" s="692"/>
      <c r="AO42" s="692"/>
      <c r="AP42" s="692"/>
    </row>
    <row r="43" spans="1:42" ht="15.75" x14ac:dyDescent="0.25">
      <c r="A43" s="31"/>
      <c r="B43" s="772" t="str">
        <f>Inputs!B31</f>
        <v>Killing Costs</v>
      </c>
      <c r="C43" s="775">
        <f>C26</f>
        <v>4950</v>
      </c>
      <c r="D43" s="786">
        <f>Inputs!D31</f>
        <v>0</v>
      </c>
      <c r="E43" s="775">
        <f t="shared" si="7"/>
        <v>0</v>
      </c>
      <c r="F43" s="791"/>
      <c r="G43" s="795"/>
      <c r="H43" s="795"/>
      <c r="I43" s="795"/>
      <c r="J43" s="795"/>
      <c r="K43" s="795"/>
      <c r="L43" s="795"/>
      <c r="M43" s="795"/>
      <c r="N43" s="795"/>
      <c r="O43" s="795"/>
      <c r="P43" s="795"/>
      <c r="Q43" s="795"/>
      <c r="R43" s="795"/>
      <c r="S43" s="795"/>
      <c r="T43" s="795"/>
      <c r="U43" s="712" t="s">
        <v>404</v>
      </c>
      <c r="V43" s="712"/>
      <c r="W43" s="712"/>
      <c r="X43" s="712" t="s">
        <v>336</v>
      </c>
      <c r="Y43" s="43" t="s">
        <v>3</v>
      </c>
      <c r="Z43" s="43" t="str">
        <f>IF(Summary!C13="",Summary!C5*0.45*Summary!C10*0.8,"")</f>
        <v/>
      </c>
      <c r="AA43" s="36" t="str">
        <f>IF(Z43="","",Summary!C11*0.75)</f>
        <v/>
      </c>
      <c r="AB43" s="36">
        <f>SUM(AA43)</f>
        <v>0</v>
      </c>
      <c r="AC43" s="691"/>
      <c r="AD43" s="691"/>
      <c r="AE43" s="691"/>
      <c r="AF43" s="691"/>
      <c r="AG43" s="691"/>
      <c r="AH43" s="691"/>
      <c r="AI43" s="691"/>
      <c r="AJ43" s="691"/>
      <c r="AK43" s="692"/>
      <c r="AL43" s="692"/>
      <c r="AM43" s="692"/>
      <c r="AN43" s="692"/>
      <c r="AO43" s="692"/>
      <c r="AP43" s="692"/>
    </row>
    <row r="44" spans="1:42" ht="15.75" x14ac:dyDescent="0.25">
      <c r="A44" s="31"/>
      <c r="B44" s="772" t="s">
        <v>96</v>
      </c>
      <c r="C44" s="775"/>
      <c r="D44" s="796"/>
      <c r="E44" s="775">
        <f>+E20*Inputs!D37*0.01</f>
        <v>2400</v>
      </c>
      <c r="F44" s="791"/>
      <c r="G44" s="795"/>
      <c r="H44" s="795"/>
      <c r="I44" s="795"/>
      <c r="J44" s="795"/>
      <c r="K44" s="795"/>
      <c r="L44" s="795"/>
      <c r="M44" s="795"/>
      <c r="N44" s="795"/>
      <c r="O44" s="795"/>
      <c r="P44" s="795"/>
      <c r="Q44" s="795"/>
      <c r="R44" s="795"/>
      <c r="S44" s="795"/>
      <c r="T44" s="795"/>
      <c r="U44" s="712" t="s">
        <v>404</v>
      </c>
      <c r="V44" s="712"/>
      <c r="W44" s="712"/>
      <c r="X44" s="712" t="s">
        <v>336</v>
      </c>
      <c r="Y44" s="43" t="s">
        <v>512</v>
      </c>
      <c r="Z44" s="43">
        <f>IF(Summary!C13&gt;1,Summary!D8*1.2,"")</f>
        <v>135.6</v>
      </c>
      <c r="AA44" s="36"/>
      <c r="AB44" s="36">
        <f>SUM(Z44:AA44)</f>
        <v>135.6</v>
      </c>
      <c r="AC44" s="691"/>
      <c r="AD44" s="691"/>
      <c r="AE44" s="691"/>
      <c r="AF44" s="691"/>
      <c r="AG44" s="691"/>
      <c r="AH44" s="691"/>
      <c r="AI44" s="691"/>
      <c r="AJ44" s="691"/>
      <c r="AK44" s="692"/>
      <c r="AL44" s="692"/>
      <c r="AM44" s="692"/>
      <c r="AN44" s="692"/>
      <c r="AO44" s="692"/>
      <c r="AP44" s="692"/>
    </row>
    <row r="45" spans="1:42" ht="15.75" x14ac:dyDescent="0.25">
      <c r="A45" s="31"/>
      <c r="B45" s="772" t="s">
        <v>146</v>
      </c>
      <c r="C45" s="775">
        <f>+C24</f>
        <v>5000</v>
      </c>
      <c r="D45" s="786">
        <f>+(D24+D25)*0.01*Inputs!D17*Summary!J8/365</f>
        <v>1.3268101761252447</v>
      </c>
      <c r="E45" s="775">
        <f>+D45*C45</f>
        <v>6634.0508806262233</v>
      </c>
      <c r="F45" s="791"/>
      <c r="G45" s="795"/>
      <c r="H45" s="795"/>
      <c r="I45" s="795"/>
      <c r="J45" s="795"/>
      <c r="K45" s="795"/>
      <c r="L45" s="795"/>
      <c r="M45" s="795"/>
      <c r="N45" s="795"/>
      <c r="O45" s="795"/>
      <c r="P45" s="795"/>
      <c r="Q45" s="795"/>
      <c r="R45" s="795"/>
      <c r="S45" s="795"/>
      <c r="T45" s="795"/>
      <c r="U45" s="712" t="s">
        <v>404</v>
      </c>
      <c r="V45" s="712"/>
      <c r="W45" s="712"/>
      <c r="X45" s="712" t="s">
        <v>336</v>
      </c>
      <c r="Y45" s="43"/>
      <c r="Z45" s="712">
        <f>SUM(Z43:Z44)</f>
        <v>135.6</v>
      </c>
      <c r="AA45" s="712">
        <f>SUM(AA43:AA44)</f>
        <v>0</v>
      </c>
      <c r="AB45" s="758">
        <f>SUM(Z45:AA45)</f>
        <v>135.6</v>
      </c>
      <c r="AC45" s="691"/>
      <c r="AD45" s="691"/>
      <c r="AE45" s="691"/>
      <c r="AF45" s="691"/>
      <c r="AG45" s="691"/>
      <c r="AH45" s="691"/>
      <c r="AI45" s="691"/>
      <c r="AJ45" s="691"/>
      <c r="AK45" s="692"/>
      <c r="AL45" s="692"/>
      <c r="AM45" s="692"/>
      <c r="AN45" s="692"/>
      <c r="AO45" s="692"/>
      <c r="AP45" s="692"/>
    </row>
    <row r="46" spans="1:42" ht="15.75" x14ac:dyDescent="0.25">
      <c r="A46" s="31"/>
      <c r="B46" s="770" t="s">
        <v>100</v>
      </c>
      <c r="C46" s="782"/>
      <c r="D46" s="797"/>
      <c r="E46" s="782">
        <f>SUM(E24:E45)</f>
        <v>656749.50088062615</v>
      </c>
      <c r="F46" s="798">
        <f>+E46</f>
        <v>656749.50088062615</v>
      </c>
      <c r="G46" s="795"/>
      <c r="H46" s="795"/>
      <c r="I46" s="795"/>
      <c r="J46" s="795"/>
      <c r="K46" s="795"/>
      <c r="L46" s="795"/>
      <c r="M46" s="795"/>
      <c r="N46" s="795"/>
      <c r="O46" s="795"/>
      <c r="P46" s="795"/>
      <c r="Q46" s="795"/>
      <c r="R46" s="795"/>
      <c r="S46" s="795"/>
      <c r="T46" s="795"/>
      <c r="U46" s="712"/>
      <c r="V46" s="712"/>
      <c r="W46" s="712"/>
      <c r="X46" s="712"/>
      <c r="Y46" s="43"/>
      <c r="Z46" s="43"/>
      <c r="AA46" s="36"/>
      <c r="AB46" s="36"/>
      <c r="AC46" s="691"/>
      <c r="AD46" s="691"/>
      <c r="AE46" s="691"/>
      <c r="AF46" s="691"/>
      <c r="AG46" s="691"/>
      <c r="AH46" s="691"/>
      <c r="AI46" s="691"/>
      <c r="AJ46" s="691"/>
      <c r="AK46" s="692"/>
      <c r="AL46" s="692"/>
      <c r="AM46" s="692"/>
      <c r="AN46" s="692"/>
      <c r="AO46" s="692"/>
      <c r="AP46" s="692"/>
    </row>
    <row r="47" spans="1:42" ht="15.75" x14ac:dyDescent="0.25">
      <c r="A47" s="31"/>
      <c r="B47" s="81"/>
      <c r="C47" s="799"/>
      <c r="D47" s="800"/>
      <c r="E47" s="801"/>
      <c r="F47" s="802"/>
      <c r="G47" s="795"/>
      <c r="H47" s="795"/>
      <c r="I47" s="795"/>
      <c r="J47" s="795"/>
      <c r="K47" s="795"/>
      <c r="L47" s="795"/>
      <c r="M47" s="795"/>
      <c r="N47" s="795"/>
      <c r="O47" s="795"/>
      <c r="P47" s="795"/>
      <c r="Q47" s="795"/>
      <c r="R47" s="795"/>
      <c r="S47" s="795"/>
      <c r="T47" s="795"/>
      <c r="U47" s="692"/>
      <c r="V47" s="712"/>
      <c r="W47" s="712"/>
      <c r="X47" s="712"/>
      <c r="Y47" s="697"/>
      <c r="Z47" s="697"/>
      <c r="AA47" s="691"/>
      <c r="AB47" s="691"/>
      <c r="AC47" s="691"/>
      <c r="AD47" s="691"/>
      <c r="AE47" s="691"/>
      <c r="AF47" s="691"/>
      <c r="AG47" s="691"/>
      <c r="AH47" s="691"/>
      <c r="AI47" s="691"/>
      <c r="AJ47" s="691"/>
      <c r="AK47" s="692"/>
      <c r="AL47" s="692"/>
      <c r="AM47" s="692"/>
      <c r="AN47" s="692"/>
      <c r="AO47" s="692"/>
      <c r="AP47" s="692"/>
    </row>
    <row r="48" spans="1:42" ht="15.75" x14ac:dyDescent="0.25">
      <c r="A48" s="31"/>
      <c r="B48" s="770" t="s">
        <v>104</v>
      </c>
      <c r="C48" s="785">
        <f>+C24</f>
        <v>5000</v>
      </c>
      <c r="D48" s="786">
        <f>+Inputs!I7*0.01</f>
        <v>0.05</v>
      </c>
      <c r="E48" s="787">
        <f>+D48*C48*Summary!J8</f>
        <v>10714.285714285714</v>
      </c>
      <c r="F48" s="782">
        <f>+E48</f>
        <v>10714.285714285714</v>
      </c>
      <c r="G48" s="795"/>
      <c r="H48" s="795"/>
      <c r="I48" s="795"/>
      <c r="J48" s="795"/>
      <c r="K48" s="795"/>
      <c r="L48" s="795"/>
      <c r="M48" s="795"/>
      <c r="N48" s="795"/>
      <c r="O48" s="795"/>
      <c r="P48" s="795"/>
      <c r="Q48" s="795"/>
      <c r="R48" s="795"/>
      <c r="S48" s="795"/>
      <c r="T48" s="795"/>
      <c r="U48" s="712" t="s">
        <v>399</v>
      </c>
      <c r="V48" s="712"/>
      <c r="W48" s="712"/>
      <c r="X48" s="712"/>
      <c r="Y48" s="697"/>
      <c r="Z48" s="697"/>
      <c r="AA48" s="691"/>
      <c r="AB48" s="691"/>
      <c r="AC48" s="691"/>
      <c r="AD48" s="691"/>
      <c r="AE48" s="691"/>
      <c r="AF48" s="691"/>
      <c r="AG48" s="691"/>
      <c r="AH48" s="691"/>
      <c r="AI48" s="691"/>
      <c r="AJ48" s="691"/>
      <c r="AK48" s="692"/>
      <c r="AL48" s="692"/>
      <c r="AM48" s="692"/>
      <c r="AN48" s="692"/>
      <c r="AO48" s="692"/>
      <c r="AP48" s="692"/>
    </row>
    <row r="49" spans="1:42" ht="15.75" x14ac:dyDescent="0.25">
      <c r="A49" s="31"/>
      <c r="B49" s="81"/>
      <c r="C49" s="799"/>
      <c r="D49" s="800"/>
      <c r="E49" s="801"/>
      <c r="F49" s="802"/>
      <c r="G49" s="795"/>
      <c r="H49" s="795"/>
      <c r="I49" s="795"/>
      <c r="J49" s="795"/>
      <c r="K49" s="795"/>
      <c r="L49" s="795"/>
      <c r="M49" s="795"/>
      <c r="N49" s="795"/>
      <c r="O49" s="795"/>
      <c r="P49" s="795"/>
      <c r="Q49" s="795"/>
      <c r="R49" s="795"/>
      <c r="S49" s="795"/>
      <c r="T49" s="795"/>
      <c r="U49" s="712"/>
      <c r="V49" s="712"/>
      <c r="W49" s="712"/>
      <c r="X49" s="712"/>
      <c r="Y49" s="697"/>
      <c r="Z49" s="697"/>
      <c r="AA49" s="691"/>
      <c r="AB49" s="691"/>
      <c r="AC49" s="691"/>
      <c r="AD49" s="691"/>
      <c r="AE49" s="691"/>
      <c r="AF49" s="691"/>
      <c r="AG49" s="691"/>
      <c r="AH49" s="691"/>
      <c r="AI49" s="691"/>
      <c r="AJ49" s="691"/>
      <c r="AK49" s="692"/>
      <c r="AL49" s="692"/>
      <c r="AM49" s="692"/>
      <c r="AN49" s="692"/>
      <c r="AO49" s="692"/>
      <c r="AP49" s="692"/>
    </row>
    <row r="50" spans="1:42" ht="15.75" x14ac:dyDescent="0.25">
      <c r="A50" s="31"/>
      <c r="B50" s="803" t="s">
        <v>105</v>
      </c>
      <c r="C50" s="804" t="s">
        <v>155</v>
      </c>
      <c r="D50" s="804" t="s">
        <v>184</v>
      </c>
      <c r="E50" s="804" t="s">
        <v>5</v>
      </c>
      <c r="F50" s="802"/>
      <c r="G50" s="795"/>
      <c r="H50" s="795"/>
      <c r="I50" s="795"/>
      <c r="J50" s="795"/>
      <c r="K50" s="795"/>
      <c r="L50" s="795"/>
      <c r="M50" s="795"/>
      <c r="N50" s="795"/>
      <c r="O50" s="795"/>
      <c r="P50" s="795"/>
      <c r="Q50" s="795"/>
      <c r="R50" s="795"/>
      <c r="S50" s="795"/>
      <c r="T50" s="795"/>
      <c r="U50" s="712"/>
      <c r="V50" s="712"/>
      <c r="W50" s="712"/>
      <c r="X50" s="712"/>
      <c r="Y50" s="697"/>
      <c r="Z50" s="697"/>
      <c r="AA50" s="691"/>
      <c r="AB50" s="690"/>
      <c r="AC50" s="691"/>
      <c r="AD50" s="691"/>
      <c r="AE50" s="691"/>
      <c r="AF50" s="691"/>
      <c r="AG50" s="691"/>
      <c r="AH50" s="691"/>
      <c r="AI50" s="691"/>
      <c r="AJ50" s="691"/>
      <c r="AK50" s="692"/>
      <c r="AL50" s="692"/>
      <c r="AM50" s="692"/>
      <c r="AN50" s="692"/>
      <c r="AO50" s="692"/>
      <c r="AP50" s="692"/>
    </row>
    <row r="51" spans="1:42" ht="15.75" x14ac:dyDescent="0.25">
      <c r="A51" s="31"/>
      <c r="B51" s="805" t="s">
        <v>235</v>
      </c>
      <c r="C51" s="806">
        <f>IF(Rations!L28="",0,Rations!L28*0.001)</f>
        <v>0</v>
      </c>
      <c r="D51" s="787" t="str">
        <f>Rations!B32</f>
        <v/>
      </c>
      <c r="E51" s="787">
        <f>IF(C51=0,0,C51*D51)</f>
        <v>0</v>
      </c>
      <c r="F51" s="31"/>
      <c r="G51" s="795"/>
      <c r="H51" s="795"/>
      <c r="I51" s="795"/>
      <c r="J51" s="795"/>
      <c r="K51" s="795"/>
      <c r="L51" s="795"/>
      <c r="M51" s="795"/>
      <c r="N51" s="795"/>
      <c r="O51" s="795"/>
      <c r="P51" s="795"/>
      <c r="Q51" s="795"/>
      <c r="R51" s="795"/>
      <c r="S51" s="795"/>
      <c r="T51" s="795"/>
      <c r="U51" s="712"/>
      <c r="V51" s="712"/>
      <c r="W51" s="712"/>
      <c r="X51" s="712"/>
      <c r="Y51" s="697"/>
      <c r="Z51" s="697"/>
      <c r="AA51" s="691"/>
      <c r="AB51" s="691"/>
      <c r="AC51" s="691"/>
      <c r="AD51" s="691"/>
      <c r="AE51" s="691"/>
      <c r="AF51" s="691"/>
      <c r="AG51" s="691"/>
      <c r="AH51" s="691"/>
      <c r="AI51" s="691"/>
      <c r="AJ51" s="691"/>
      <c r="AK51" s="692"/>
      <c r="AL51" s="692"/>
      <c r="AM51" s="692"/>
      <c r="AN51" s="692"/>
      <c r="AO51" s="692"/>
      <c r="AP51" s="692"/>
    </row>
    <row r="52" spans="1:42" ht="15.75" x14ac:dyDescent="0.25">
      <c r="A52" s="31"/>
      <c r="B52" s="805" t="s">
        <v>542</v>
      </c>
      <c r="C52" s="806">
        <f>IF(Rations!M28="",0,Rations!M28*0.001)</f>
        <v>0</v>
      </c>
      <c r="D52" s="787" t="str">
        <f>Rations!C32</f>
        <v/>
      </c>
      <c r="E52" s="787">
        <f>IF(C52=0,0,C52*D52)</f>
        <v>0</v>
      </c>
      <c r="F52" s="31"/>
      <c r="G52" s="31"/>
      <c r="H52" s="31"/>
      <c r="I52" s="31"/>
      <c r="J52" s="31"/>
      <c r="K52" s="31"/>
      <c r="L52" s="31"/>
      <c r="M52" s="31"/>
      <c r="N52" s="31"/>
      <c r="O52" s="31"/>
      <c r="P52" s="31"/>
      <c r="Q52" s="31"/>
      <c r="R52" s="31"/>
      <c r="S52" s="31"/>
      <c r="T52" s="31"/>
      <c r="U52" s="712"/>
      <c r="V52" s="712"/>
      <c r="W52" s="712"/>
      <c r="X52" s="712"/>
      <c r="Y52" s="697"/>
      <c r="Z52" s="697"/>
      <c r="AA52" s="691"/>
      <c r="AB52" s="691"/>
      <c r="AC52" s="691"/>
      <c r="AD52" s="691"/>
      <c r="AE52" s="691"/>
      <c r="AF52" s="691"/>
      <c r="AG52" s="691"/>
      <c r="AH52" s="691"/>
      <c r="AI52" s="691"/>
      <c r="AJ52" s="691"/>
      <c r="AK52" s="692"/>
      <c r="AL52" s="692"/>
      <c r="AM52" s="692"/>
      <c r="AN52" s="692"/>
      <c r="AO52" s="692"/>
      <c r="AP52" s="692"/>
    </row>
    <row r="53" spans="1:42" ht="15.75" x14ac:dyDescent="0.25">
      <c r="A53" s="31"/>
      <c r="B53" s="805" t="s">
        <v>183</v>
      </c>
      <c r="C53" s="806">
        <f>Rations!N28*0.001</f>
        <v>385.00000000000006</v>
      </c>
      <c r="D53" s="787">
        <f>Rations!D32</f>
        <v>280</v>
      </c>
      <c r="E53" s="787">
        <f>C53*D53</f>
        <v>107800.00000000001</v>
      </c>
      <c r="F53" s="807"/>
      <c r="G53" s="31"/>
      <c r="H53" s="31"/>
      <c r="I53" s="31"/>
      <c r="J53" s="31"/>
      <c r="K53" s="31"/>
      <c r="L53" s="31"/>
      <c r="M53" s="31"/>
      <c r="N53" s="31"/>
      <c r="O53" s="31"/>
      <c r="P53" s="31"/>
      <c r="Q53" s="31"/>
      <c r="R53" s="31"/>
      <c r="S53" s="31"/>
      <c r="T53" s="31"/>
      <c r="U53" s="712"/>
      <c r="V53" s="712"/>
      <c r="W53" s="712"/>
      <c r="X53" s="712"/>
      <c r="Y53" s="697"/>
      <c r="Z53" s="697"/>
      <c r="AA53" s="691"/>
      <c r="AB53" s="691"/>
      <c r="AC53" s="691"/>
      <c r="AD53" s="691"/>
      <c r="AE53" s="691"/>
      <c r="AF53" s="691"/>
      <c r="AG53" s="691"/>
      <c r="AH53" s="691"/>
      <c r="AI53" s="691"/>
      <c r="AJ53" s="691"/>
      <c r="AK53" s="692"/>
      <c r="AL53" s="692"/>
      <c r="AM53" s="692"/>
      <c r="AN53" s="692"/>
      <c r="AO53" s="692"/>
      <c r="AP53" s="692"/>
    </row>
    <row r="54" spans="1:42" ht="15.75" x14ac:dyDescent="0.25">
      <c r="A54" s="31"/>
      <c r="B54" s="805" t="s">
        <v>108</v>
      </c>
      <c r="C54" s="806">
        <f>C51+C52+C53</f>
        <v>385.00000000000006</v>
      </c>
      <c r="D54" s="785">
        <f>+Inputs!I8</f>
        <v>13</v>
      </c>
      <c r="E54" s="787">
        <f>+D54*C54</f>
        <v>5005.0000000000009</v>
      </c>
      <c r="F54" s="808"/>
      <c r="G54" s="31"/>
      <c r="H54" s="31"/>
      <c r="I54" s="31"/>
      <c r="J54" s="31"/>
      <c r="K54" s="31"/>
      <c r="L54" s="31"/>
      <c r="M54" s="31"/>
      <c r="N54" s="31"/>
      <c r="O54" s="31"/>
      <c r="P54" s="31"/>
      <c r="Q54" s="31"/>
      <c r="R54" s="31"/>
      <c r="S54" s="31"/>
      <c r="T54" s="31"/>
      <c r="U54" s="712"/>
      <c r="V54" s="712"/>
      <c r="W54" s="712"/>
      <c r="X54" s="712"/>
      <c r="Y54" s="697"/>
      <c r="Z54" s="697"/>
      <c r="AA54" s="691"/>
      <c r="AB54" s="691"/>
      <c r="AC54" s="691"/>
      <c r="AD54" s="691"/>
      <c r="AE54" s="691"/>
      <c r="AF54" s="691"/>
      <c r="AG54" s="691"/>
      <c r="AH54" s="691"/>
      <c r="AI54" s="691"/>
      <c r="AJ54" s="691"/>
      <c r="AK54" s="692"/>
      <c r="AL54" s="692"/>
      <c r="AM54" s="692"/>
      <c r="AN54" s="692"/>
      <c r="AO54" s="692"/>
      <c r="AP54" s="692"/>
    </row>
    <row r="55" spans="1:42" ht="15.75" x14ac:dyDescent="0.25">
      <c r="A55" s="31"/>
      <c r="B55" s="805" t="s">
        <v>403</v>
      </c>
      <c r="C55" s="785"/>
      <c r="D55" s="785"/>
      <c r="E55" s="787">
        <f>Inputs!I9</f>
        <v>0</v>
      </c>
      <c r="F55" s="808"/>
      <c r="G55" s="31"/>
      <c r="H55" s="31"/>
      <c r="I55" s="31"/>
      <c r="J55" s="31"/>
      <c r="K55" s="31"/>
      <c r="L55" s="31"/>
      <c r="M55" s="31"/>
      <c r="N55" s="31"/>
      <c r="O55" s="31"/>
      <c r="P55" s="31"/>
      <c r="Q55" s="31"/>
      <c r="R55" s="31"/>
      <c r="S55" s="31"/>
      <c r="T55" s="31"/>
      <c r="U55" s="692"/>
      <c r="V55" s="712"/>
      <c r="W55" s="712"/>
      <c r="X55" s="712"/>
      <c r="Y55" s="697"/>
      <c r="Z55" s="697"/>
      <c r="AA55" s="691"/>
      <c r="AB55" s="691"/>
      <c r="AC55" s="691"/>
      <c r="AD55" s="691"/>
      <c r="AE55" s="691"/>
      <c r="AF55" s="691"/>
      <c r="AG55" s="691"/>
      <c r="AH55" s="691"/>
      <c r="AI55" s="691"/>
      <c r="AJ55" s="691"/>
      <c r="AK55" s="692"/>
      <c r="AL55" s="692"/>
      <c r="AM55" s="692"/>
      <c r="AN55" s="692"/>
      <c r="AO55" s="692"/>
      <c r="AP55" s="692"/>
    </row>
    <row r="56" spans="1:42" ht="15.75" x14ac:dyDescent="0.25">
      <c r="A56" s="31"/>
      <c r="B56" s="770" t="s">
        <v>107</v>
      </c>
      <c r="C56" s="809"/>
      <c r="D56" s="810"/>
      <c r="E56" s="811">
        <f>SUM(E51:E55)</f>
        <v>112805.00000000001</v>
      </c>
      <c r="F56" s="798">
        <f>+E56</f>
        <v>112805.00000000001</v>
      </c>
      <c r="G56" s="31"/>
      <c r="H56" s="31"/>
      <c r="I56" s="31"/>
      <c r="J56" s="31"/>
      <c r="K56" s="31"/>
      <c r="L56" s="31"/>
      <c r="M56" s="31"/>
      <c r="N56" s="31"/>
      <c r="O56" s="31"/>
      <c r="P56" s="31"/>
      <c r="Q56" s="31"/>
      <c r="R56" s="31"/>
      <c r="S56" s="31"/>
      <c r="T56" s="31"/>
      <c r="U56" s="712" t="s">
        <v>400</v>
      </c>
      <c r="V56" s="712"/>
      <c r="W56" s="712"/>
      <c r="X56" s="712"/>
      <c r="Y56" s="697"/>
      <c r="Z56" s="697"/>
      <c r="AA56" s="691"/>
      <c r="AB56" s="691"/>
      <c r="AC56" s="691"/>
      <c r="AD56" s="691"/>
      <c r="AE56" s="691"/>
      <c r="AF56" s="691"/>
      <c r="AG56" s="691"/>
      <c r="AH56" s="691"/>
      <c r="AI56" s="691"/>
      <c r="AJ56" s="691"/>
      <c r="AK56" s="692"/>
      <c r="AL56" s="692"/>
      <c r="AM56" s="692"/>
      <c r="AN56" s="692"/>
      <c r="AO56" s="692"/>
      <c r="AP56" s="692"/>
    </row>
    <row r="57" spans="1:42" ht="15.75" x14ac:dyDescent="0.25">
      <c r="A57" s="31"/>
      <c r="B57" s="106"/>
      <c r="C57" s="801"/>
      <c r="D57" s="812"/>
      <c r="E57" s="813"/>
      <c r="F57" s="802"/>
      <c r="G57" s="795"/>
      <c r="H57" s="795"/>
      <c r="I57" s="795"/>
      <c r="J57" s="795"/>
      <c r="K57" s="795"/>
      <c r="L57" s="795"/>
      <c r="M57" s="795"/>
      <c r="N57" s="795"/>
      <c r="O57" s="795"/>
      <c r="P57" s="795"/>
      <c r="Q57" s="795"/>
      <c r="R57" s="795"/>
      <c r="S57" s="795"/>
      <c r="T57" s="795"/>
      <c r="U57" s="692"/>
      <c r="V57" s="712"/>
      <c r="W57" s="712"/>
      <c r="X57" s="712"/>
      <c r="Y57" s="697"/>
      <c r="Z57" s="697"/>
      <c r="AA57" s="697"/>
      <c r="AB57" s="697"/>
      <c r="AC57" s="691"/>
      <c r="AD57" s="691"/>
      <c r="AE57" s="691"/>
      <c r="AF57" s="691"/>
      <c r="AG57" s="691"/>
      <c r="AH57" s="691"/>
      <c r="AI57" s="691"/>
      <c r="AJ57" s="691"/>
      <c r="AK57" s="692"/>
      <c r="AL57" s="692"/>
      <c r="AM57" s="692"/>
      <c r="AN57" s="692"/>
      <c r="AO57" s="692"/>
      <c r="AP57" s="692"/>
    </row>
    <row r="58" spans="1:42" ht="15.75" x14ac:dyDescent="0.25">
      <c r="A58" s="31"/>
      <c r="B58" s="814"/>
      <c r="C58" s="804" t="s">
        <v>156</v>
      </c>
      <c r="D58" s="804" t="s">
        <v>63</v>
      </c>
      <c r="E58" s="815" t="s">
        <v>5</v>
      </c>
      <c r="F58" s="802"/>
      <c r="G58" s="795"/>
      <c r="H58" s="795"/>
      <c r="I58" s="795"/>
      <c r="J58" s="795"/>
      <c r="K58" s="795"/>
      <c r="L58" s="795"/>
      <c r="M58" s="795"/>
      <c r="N58" s="795"/>
      <c r="O58" s="795"/>
      <c r="P58" s="795"/>
      <c r="Q58" s="795"/>
      <c r="R58" s="795"/>
      <c r="S58" s="795"/>
      <c r="T58" s="795"/>
      <c r="U58" s="692"/>
      <c r="V58" s="712"/>
      <c r="W58" s="712"/>
      <c r="X58" s="712"/>
      <c r="Y58" s="697"/>
      <c r="Z58" s="697"/>
      <c r="AA58" s="697"/>
      <c r="AB58" s="697"/>
      <c r="AC58" s="691"/>
      <c r="AD58" s="691"/>
      <c r="AE58" s="691"/>
      <c r="AF58" s="691"/>
      <c r="AG58" s="691"/>
      <c r="AH58" s="691"/>
      <c r="AI58" s="691"/>
      <c r="AJ58" s="691"/>
      <c r="AK58" s="692"/>
      <c r="AL58" s="692"/>
      <c r="AM58" s="692"/>
      <c r="AN58" s="692"/>
      <c r="AO58" s="692"/>
      <c r="AP58" s="692"/>
    </row>
    <row r="59" spans="1:42" ht="15.75" x14ac:dyDescent="0.25">
      <c r="A59" s="31"/>
      <c r="B59" s="781" t="s">
        <v>70</v>
      </c>
      <c r="C59" s="785">
        <f>+C24</f>
        <v>5000</v>
      </c>
      <c r="D59" s="786">
        <f>IF(Inputs!H20="",0,Inputs!H20)</f>
        <v>0</v>
      </c>
      <c r="E59" s="787">
        <f>IF(D59="",0,D59*C59)</f>
        <v>0</v>
      </c>
      <c r="F59" s="782">
        <f>E59</f>
        <v>0</v>
      </c>
      <c r="G59" s="795"/>
      <c r="H59" s="795"/>
      <c r="I59" s="795"/>
      <c r="J59" s="795"/>
      <c r="K59" s="795"/>
      <c r="L59" s="795"/>
      <c r="M59" s="795"/>
      <c r="N59" s="795"/>
      <c r="O59" s="795"/>
      <c r="P59" s="795"/>
      <c r="Q59" s="795"/>
      <c r="R59" s="795"/>
      <c r="S59" s="795"/>
      <c r="T59" s="795"/>
      <c r="U59" s="712" t="s">
        <v>401</v>
      </c>
      <c r="V59" s="712"/>
      <c r="W59" s="712"/>
      <c r="X59" s="712"/>
      <c r="Y59" s="697"/>
      <c r="Z59" s="697"/>
      <c r="AA59" s="697"/>
      <c r="AB59" s="697"/>
      <c r="AC59" s="691"/>
      <c r="AD59" s="691"/>
      <c r="AE59" s="691"/>
      <c r="AF59" s="691"/>
      <c r="AG59" s="691"/>
      <c r="AH59" s="691"/>
      <c r="AI59" s="691"/>
      <c r="AJ59" s="691"/>
      <c r="AK59" s="692"/>
      <c r="AL59" s="692"/>
      <c r="AM59" s="692"/>
      <c r="AN59" s="692"/>
      <c r="AO59" s="692"/>
      <c r="AP59" s="692"/>
    </row>
    <row r="60" spans="1:42" ht="15.75" x14ac:dyDescent="0.25">
      <c r="A60" s="31"/>
      <c r="B60" s="814"/>
      <c r="C60" s="814"/>
      <c r="D60" s="814"/>
      <c r="E60" s="816"/>
      <c r="F60" s="802"/>
      <c r="G60" s="795"/>
      <c r="H60" s="795"/>
      <c r="I60" s="795"/>
      <c r="J60" s="795"/>
      <c r="K60" s="795"/>
      <c r="L60" s="795"/>
      <c r="M60" s="795"/>
      <c r="N60" s="795"/>
      <c r="O60" s="795"/>
      <c r="P60" s="795"/>
      <c r="Q60" s="795"/>
      <c r="R60" s="795"/>
      <c r="S60" s="795"/>
      <c r="T60" s="795"/>
      <c r="U60" s="692"/>
      <c r="V60" s="692"/>
      <c r="W60" s="692"/>
      <c r="X60" s="692"/>
      <c r="Y60" s="697"/>
      <c r="Z60" s="697"/>
      <c r="AA60" s="697"/>
      <c r="AB60" s="697"/>
      <c r="AC60" s="691"/>
      <c r="AD60" s="691"/>
      <c r="AE60" s="691"/>
      <c r="AF60" s="691"/>
      <c r="AG60" s="691"/>
      <c r="AH60" s="691"/>
      <c r="AI60" s="691"/>
      <c r="AJ60" s="691"/>
      <c r="AK60" s="692"/>
      <c r="AL60" s="692"/>
      <c r="AM60" s="692"/>
      <c r="AN60" s="692"/>
      <c r="AO60" s="692"/>
      <c r="AP60" s="692"/>
    </row>
    <row r="61" spans="1:42" ht="15.75" x14ac:dyDescent="0.25">
      <c r="A61" s="31"/>
      <c r="B61" s="31"/>
      <c r="C61" s="799"/>
      <c r="D61" s="817"/>
      <c r="E61" s="947" t="s">
        <v>106</v>
      </c>
      <c r="F61" s="947"/>
      <c r="G61" s="841">
        <f>F56+F48+F46+F59</f>
        <v>780268.78659491183</v>
      </c>
      <c r="H61" s="818"/>
      <c r="I61" s="818"/>
      <c r="J61" s="818"/>
      <c r="K61" s="818"/>
      <c r="L61" s="818"/>
      <c r="M61" s="818"/>
      <c r="N61" s="818"/>
      <c r="O61" s="818"/>
      <c r="P61" s="818"/>
      <c r="Q61" s="818"/>
      <c r="R61" s="818"/>
      <c r="S61" s="818"/>
      <c r="T61" s="818"/>
      <c r="U61" s="692"/>
      <c r="V61" s="692"/>
      <c r="W61" s="692"/>
      <c r="X61" s="692"/>
      <c r="Y61" s="697"/>
      <c r="Z61" s="697"/>
      <c r="AA61" s="697"/>
      <c r="AB61" s="697"/>
      <c r="AC61" s="691"/>
      <c r="AD61" s="691"/>
      <c r="AE61" s="691"/>
      <c r="AF61" s="691"/>
      <c r="AG61" s="691"/>
      <c r="AH61" s="691"/>
      <c r="AI61" s="691"/>
      <c r="AJ61" s="691"/>
      <c r="AK61" s="692"/>
      <c r="AL61" s="692"/>
      <c r="AM61" s="692"/>
      <c r="AN61" s="692"/>
      <c r="AO61" s="692"/>
      <c r="AP61" s="692"/>
    </row>
    <row r="62" spans="1:42" ht="15.75" x14ac:dyDescent="0.25">
      <c r="A62" s="31"/>
      <c r="B62" s="31"/>
      <c r="C62" s="799"/>
      <c r="D62" s="945" t="s">
        <v>32</v>
      </c>
      <c r="E62" s="945"/>
      <c r="F62" s="945"/>
      <c r="G62" s="842">
        <f>+G21-G61</f>
        <v>10340.213405088172</v>
      </c>
      <c r="H62" s="801"/>
      <c r="I62" s="801"/>
      <c r="J62" s="801"/>
      <c r="K62" s="801"/>
      <c r="L62" s="801"/>
      <c r="M62" s="801"/>
      <c r="N62" s="801"/>
      <c r="O62" s="801"/>
      <c r="P62" s="801"/>
      <c r="Q62" s="801"/>
      <c r="R62" s="801"/>
      <c r="S62" s="801"/>
      <c r="T62" s="801"/>
      <c r="U62" s="692"/>
      <c r="V62" s="692"/>
      <c r="W62" s="692"/>
      <c r="X62" s="692"/>
      <c r="Y62" s="697"/>
      <c r="Z62" s="697"/>
      <c r="AA62" s="697"/>
      <c r="AB62" s="697"/>
      <c r="AC62" s="691"/>
      <c r="AD62" s="691"/>
      <c r="AE62" s="691"/>
      <c r="AF62" s="691"/>
      <c r="AG62" s="691"/>
      <c r="AH62" s="691"/>
      <c r="AI62" s="691"/>
      <c r="AJ62" s="691"/>
      <c r="AK62" s="692"/>
      <c r="AL62" s="692"/>
      <c r="AM62" s="692"/>
      <c r="AN62" s="692"/>
      <c r="AO62" s="692"/>
      <c r="AP62" s="692"/>
    </row>
    <row r="63" spans="1:42" ht="15.75" x14ac:dyDescent="0.25">
      <c r="A63" s="31"/>
      <c r="B63" s="31"/>
      <c r="C63" s="799"/>
      <c r="D63" s="945" t="s">
        <v>31</v>
      </c>
      <c r="E63" s="945"/>
      <c r="F63" s="945"/>
      <c r="G63" s="843">
        <f>+G62/C24</f>
        <v>2.0680426810176344</v>
      </c>
      <c r="H63" s="795"/>
      <c r="I63" s="795"/>
      <c r="J63" s="795"/>
      <c r="K63" s="795"/>
      <c r="L63" s="795"/>
      <c r="M63" s="795"/>
      <c r="N63" s="795"/>
      <c r="O63" s="795"/>
      <c r="P63" s="795"/>
      <c r="Q63" s="795"/>
      <c r="R63" s="795"/>
      <c r="S63" s="795"/>
      <c r="T63" s="795"/>
      <c r="U63" s="692"/>
      <c r="V63" s="716"/>
      <c r="W63" s="716"/>
      <c r="X63" s="716"/>
      <c r="Y63" s="697"/>
      <c r="Z63" s="697"/>
      <c r="AA63" s="697"/>
      <c r="AB63" s="697"/>
      <c r="AC63" s="691"/>
      <c r="AD63" s="691"/>
      <c r="AE63" s="691"/>
      <c r="AF63" s="691"/>
      <c r="AG63" s="691"/>
      <c r="AH63" s="691"/>
      <c r="AI63" s="691"/>
      <c r="AJ63" s="691"/>
      <c r="AK63" s="692"/>
      <c r="AL63" s="692"/>
      <c r="AM63" s="692"/>
      <c r="AN63" s="692"/>
      <c r="AO63" s="692"/>
      <c r="AP63" s="692"/>
    </row>
    <row r="64" spans="1:42" ht="15.75" x14ac:dyDescent="0.25">
      <c r="A64" s="31"/>
      <c r="B64" s="31"/>
      <c r="C64" s="801"/>
      <c r="D64" s="945" t="s">
        <v>33</v>
      </c>
      <c r="E64" s="945"/>
      <c r="F64" s="945"/>
      <c r="G64" s="843">
        <f>+G63/Summary!J8</f>
        <v>4.8254329223744806E-2</v>
      </c>
      <c r="H64" s="795"/>
      <c r="I64" s="795"/>
      <c r="J64" s="795"/>
      <c r="K64" s="795"/>
      <c r="L64" s="795"/>
      <c r="M64" s="795"/>
      <c r="N64" s="795"/>
      <c r="O64" s="795"/>
      <c r="P64" s="795"/>
      <c r="Q64" s="795"/>
      <c r="R64" s="795"/>
      <c r="S64" s="795"/>
      <c r="T64" s="795"/>
      <c r="U64" s="692"/>
      <c r="V64" s="716"/>
      <c r="W64" s="716"/>
      <c r="X64" s="716"/>
      <c r="Y64" s="691"/>
      <c r="Z64" s="691"/>
      <c r="AA64" s="691"/>
      <c r="AB64" s="691"/>
      <c r="AC64" s="691"/>
      <c r="AD64" s="691"/>
      <c r="AE64" s="691"/>
      <c r="AF64" s="691"/>
      <c r="AG64" s="691"/>
      <c r="AH64" s="691"/>
      <c r="AI64" s="691"/>
      <c r="AJ64" s="691"/>
      <c r="AK64" s="692"/>
      <c r="AL64" s="692"/>
      <c r="AM64" s="692"/>
      <c r="AN64" s="692"/>
      <c r="AO64" s="692"/>
      <c r="AP64" s="692"/>
    </row>
    <row r="65" spans="1:42" ht="15.75" x14ac:dyDescent="0.25">
      <c r="A65" s="31"/>
      <c r="B65" s="31"/>
      <c r="C65" s="282"/>
      <c r="D65" s="945" t="s">
        <v>612</v>
      </c>
      <c r="E65" s="945"/>
      <c r="F65" s="945"/>
      <c r="G65" s="843">
        <f>+G21/G61</f>
        <v>1.0132521171969633</v>
      </c>
      <c r="H65" s="795"/>
      <c r="I65" s="795"/>
      <c r="J65" s="795"/>
      <c r="K65" s="795"/>
      <c r="L65" s="795"/>
      <c r="M65" s="795"/>
      <c r="N65" s="795"/>
      <c r="O65" s="795"/>
      <c r="P65" s="795"/>
      <c r="Q65" s="795"/>
      <c r="R65" s="795"/>
      <c r="S65" s="795"/>
      <c r="T65" s="795"/>
      <c r="U65" s="692"/>
      <c r="V65" s="712"/>
      <c r="W65" s="712"/>
      <c r="X65" s="712"/>
      <c r="Y65" s="691"/>
      <c r="Z65" s="691"/>
      <c r="AA65" s="691"/>
      <c r="AB65" s="691"/>
      <c r="AC65" s="691"/>
      <c r="AD65" s="691"/>
      <c r="AE65" s="691"/>
      <c r="AF65" s="691"/>
      <c r="AG65" s="691"/>
      <c r="AH65" s="691"/>
      <c r="AI65" s="691"/>
      <c r="AJ65" s="691"/>
      <c r="AK65" s="692"/>
      <c r="AL65" s="692"/>
      <c r="AM65" s="692"/>
      <c r="AN65" s="692"/>
      <c r="AO65" s="692"/>
      <c r="AP65" s="692"/>
    </row>
    <row r="66" spans="1:42" ht="15.75" x14ac:dyDescent="0.25">
      <c r="A66" s="31"/>
      <c r="B66" s="279"/>
      <c r="C66" s="282"/>
      <c r="D66" s="81"/>
      <c r="E66" s="31"/>
      <c r="F66" s="795"/>
      <c r="G66" s="795"/>
      <c r="H66" s="795"/>
      <c r="I66" s="795"/>
      <c r="J66" s="795"/>
      <c r="K66" s="795"/>
      <c r="L66" s="795"/>
      <c r="M66" s="795"/>
      <c r="N66" s="795"/>
      <c r="O66" s="795"/>
      <c r="P66" s="795"/>
      <c r="Q66" s="795"/>
      <c r="R66" s="795"/>
      <c r="S66" s="795"/>
      <c r="T66" s="795"/>
      <c r="U66" s="692"/>
      <c r="V66" s="712"/>
      <c r="W66" s="712"/>
      <c r="X66" s="712"/>
      <c r="Y66" s="691"/>
      <c r="Z66" s="691"/>
      <c r="AA66" s="691"/>
      <c r="AB66" s="691"/>
      <c r="AC66" s="691"/>
      <c r="AD66" s="691"/>
      <c r="AE66" s="691"/>
      <c r="AF66" s="691"/>
      <c r="AG66" s="691"/>
      <c r="AH66" s="691"/>
      <c r="AI66" s="691"/>
      <c r="AJ66" s="691"/>
      <c r="AK66" s="692"/>
      <c r="AL66" s="692"/>
      <c r="AM66" s="692"/>
      <c r="AN66" s="692"/>
      <c r="AO66" s="692"/>
      <c r="AP66" s="692"/>
    </row>
    <row r="67" spans="1:42" ht="15.75" x14ac:dyDescent="0.25">
      <c r="A67" s="31"/>
      <c r="B67" s="279"/>
      <c r="C67" s="282"/>
      <c r="D67" s="81"/>
      <c r="E67" s="31"/>
      <c r="F67" s="795"/>
      <c r="G67" s="31"/>
      <c r="H67" s="31"/>
      <c r="I67" s="31"/>
      <c r="J67" s="31"/>
      <c r="K67" s="31"/>
      <c r="L67" s="31"/>
      <c r="M67" s="31"/>
      <c r="N67" s="31"/>
      <c r="O67" s="31"/>
      <c r="P67" s="31"/>
      <c r="Q67" s="31"/>
      <c r="R67" s="31"/>
      <c r="S67" s="31"/>
      <c r="T67" s="31"/>
      <c r="U67" s="692"/>
      <c r="V67" s="712"/>
      <c r="W67" s="712"/>
      <c r="X67" s="712"/>
      <c r="Y67" s="691"/>
      <c r="Z67" s="691"/>
      <c r="AA67" s="691"/>
      <c r="AB67" s="691"/>
      <c r="AC67" s="691"/>
      <c r="AD67" s="691"/>
      <c r="AE67" s="691"/>
      <c r="AF67" s="691"/>
      <c r="AG67" s="691"/>
      <c r="AH67" s="691"/>
      <c r="AI67" s="691"/>
      <c r="AJ67" s="691"/>
      <c r="AK67" s="692"/>
      <c r="AL67" s="692"/>
      <c r="AM67" s="692"/>
      <c r="AN67" s="692"/>
      <c r="AO67" s="692"/>
      <c r="AP67" s="692"/>
    </row>
    <row r="68" spans="1:42" ht="15.75" x14ac:dyDescent="0.25">
      <c r="B68" s="275"/>
      <c r="C68" s="718"/>
      <c r="D68" s="693"/>
      <c r="E68" s="719"/>
      <c r="U68" s="692"/>
      <c r="V68" s="692"/>
      <c r="W68" s="692"/>
      <c r="X68" s="692"/>
      <c r="Y68" s="691"/>
      <c r="Z68" s="691"/>
      <c r="AA68" s="691"/>
      <c r="AB68" s="691"/>
      <c r="AC68" s="691"/>
      <c r="AD68" s="691"/>
      <c r="AE68" s="691"/>
      <c r="AF68" s="691"/>
      <c r="AG68" s="691"/>
      <c r="AH68" s="691"/>
      <c r="AI68" s="691"/>
      <c r="AJ68" s="691"/>
      <c r="AK68" s="692"/>
      <c r="AL68" s="692"/>
      <c r="AM68" s="692"/>
      <c r="AN68" s="692"/>
      <c r="AO68" s="692"/>
      <c r="AP68" s="692"/>
    </row>
    <row r="69" spans="1:42" ht="15.75" x14ac:dyDescent="0.25">
      <c r="B69" s="693"/>
      <c r="C69" s="688"/>
      <c r="D69" s="720"/>
      <c r="E69" s="719"/>
      <c r="U69" s="692"/>
      <c r="V69" s="721"/>
      <c r="W69" s="721"/>
      <c r="X69" s="721"/>
      <c r="Y69" s="722"/>
      <c r="Z69" s="35"/>
      <c r="AA69" s="722"/>
      <c r="AB69" s="723"/>
      <c r="AC69" s="691"/>
      <c r="AD69" s="691"/>
      <c r="AE69" s="691"/>
      <c r="AF69" s="691"/>
      <c r="AG69" s="691"/>
      <c r="AH69" s="691"/>
      <c r="AI69" s="691"/>
      <c r="AJ69" s="691"/>
      <c r="AK69" s="692"/>
      <c r="AL69" s="692"/>
      <c r="AM69" s="692"/>
      <c r="AN69" s="692"/>
      <c r="AO69" s="692"/>
      <c r="AP69" s="692"/>
    </row>
    <row r="70" spans="1:42" ht="15.75" x14ac:dyDescent="0.25">
      <c r="B70" s="724"/>
      <c r="C70" s="725"/>
      <c r="D70" s="726"/>
      <c r="E70" s="727"/>
      <c r="F70" s="728"/>
      <c r="U70" s="712"/>
      <c r="V70" s="721"/>
      <c r="W70" s="721"/>
      <c r="X70" s="721"/>
      <c r="Y70" s="722"/>
      <c r="Z70" s="35"/>
      <c r="AA70" s="722"/>
      <c r="AB70" s="723"/>
      <c r="AC70" s="691"/>
      <c r="AD70" s="691"/>
      <c r="AE70" s="691"/>
      <c r="AF70" s="691"/>
      <c r="AG70" s="691"/>
      <c r="AH70" s="691"/>
      <c r="AI70" s="691"/>
      <c r="AJ70" s="691"/>
      <c r="AK70" s="692"/>
      <c r="AL70" s="692"/>
      <c r="AM70" s="692"/>
      <c r="AN70" s="692"/>
      <c r="AO70" s="692"/>
      <c r="AP70" s="692"/>
    </row>
    <row r="71" spans="1:42" ht="18" x14ac:dyDescent="0.25">
      <c r="B71" s="729"/>
      <c r="C71" s="725"/>
      <c r="D71" s="726"/>
      <c r="E71" s="727"/>
      <c r="F71" s="728"/>
      <c r="U71" s="692"/>
      <c r="V71" s="721"/>
      <c r="W71" s="721"/>
      <c r="X71" s="721"/>
      <c r="Y71" s="722"/>
      <c r="Z71" s="35"/>
      <c r="AA71" s="722"/>
      <c r="AB71" s="723"/>
      <c r="AC71" s="691"/>
      <c r="AD71" s="691"/>
      <c r="AE71" s="691"/>
      <c r="AF71" s="691"/>
      <c r="AG71" s="691"/>
      <c r="AH71" s="691"/>
      <c r="AI71" s="691"/>
      <c r="AJ71" s="691"/>
      <c r="AK71" s="692"/>
      <c r="AL71" s="692"/>
      <c r="AM71" s="692"/>
      <c r="AN71" s="692"/>
      <c r="AO71" s="692"/>
      <c r="AP71" s="692"/>
    </row>
    <row r="72" spans="1:42" ht="15" x14ac:dyDescent="0.25">
      <c r="B72" s="730"/>
      <c r="C72" s="725"/>
      <c r="D72" s="730"/>
      <c r="E72" s="727"/>
      <c r="F72" s="728"/>
      <c r="G72" s="731"/>
      <c r="H72" s="731"/>
      <c r="I72" s="731"/>
      <c r="J72" s="731"/>
      <c r="K72" s="731"/>
      <c r="L72" s="731"/>
      <c r="M72" s="731"/>
      <c r="N72" s="731"/>
      <c r="O72" s="731"/>
      <c r="P72" s="731"/>
      <c r="Q72" s="731"/>
      <c r="R72" s="731"/>
      <c r="S72" s="731"/>
      <c r="T72" s="731"/>
      <c r="U72" s="721"/>
      <c r="V72" s="732"/>
      <c r="W72" s="732"/>
      <c r="X72" s="732"/>
      <c r="Y72" s="691"/>
      <c r="Z72" s="691"/>
      <c r="AA72" s="732"/>
      <c r="AB72" s="35"/>
      <c r="AC72" s="691"/>
      <c r="AD72" s="691"/>
      <c r="AE72" s="691"/>
      <c r="AF72" s="691"/>
      <c r="AG72" s="691"/>
      <c r="AH72" s="691"/>
      <c r="AI72" s="691"/>
      <c r="AJ72" s="691"/>
      <c r="AK72" s="692"/>
      <c r="AL72" s="692"/>
      <c r="AM72" s="692"/>
      <c r="AN72" s="692"/>
      <c r="AO72" s="692"/>
      <c r="AP72" s="692"/>
    </row>
    <row r="73" spans="1:42" ht="15" x14ac:dyDescent="0.25">
      <c r="B73" s="733"/>
      <c r="C73" s="734"/>
      <c r="D73" s="735"/>
      <c r="E73" s="735"/>
      <c r="F73" s="728"/>
      <c r="G73" s="731"/>
      <c r="H73" s="731"/>
      <c r="I73" s="731"/>
      <c r="J73" s="731"/>
      <c r="K73" s="731"/>
      <c r="L73" s="731"/>
      <c r="M73" s="731"/>
      <c r="N73" s="731"/>
      <c r="O73" s="731"/>
      <c r="P73" s="731"/>
      <c r="Q73" s="731"/>
      <c r="R73" s="731"/>
      <c r="S73" s="731"/>
      <c r="T73" s="731"/>
      <c r="U73" s="721"/>
      <c r="V73" s="736"/>
      <c r="W73" s="736"/>
      <c r="X73" s="736"/>
      <c r="Y73" s="736"/>
      <c r="Z73" s="691"/>
      <c r="AA73" s="736"/>
      <c r="AB73" s="736"/>
      <c r="AC73" s="691"/>
      <c r="AD73" s="691"/>
      <c r="AE73" s="691"/>
      <c r="AF73" s="691"/>
      <c r="AG73" s="691"/>
      <c r="AH73" s="691"/>
      <c r="AI73" s="691"/>
      <c r="AJ73" s="691"/>
      <c r="AK73" s="692"/>
      <c r="AL73" s="692"/>
      <c r="AM73" s="692"/>
      <c r="AN73" s="692"/>
      <c r="AO73" s="692"/>
      <c r="AP73" s="692"/>
    </row>
    <row r="74" spans="1:42" ht="15" x14ac:dyDescent="0.25">
      <c r="B74" s="724"/>
      <c r="C74" s="734"/>
      <c r="D74" s="737"/>
      <c r="E74" s="738"/>
      <c r="F74" s="728"/>
      <c r="G74" s="731"/>
      <c r="H74" s="731"/>
      <c r="I74" s="731"/>
      <c r="J74" s="731"/>
      <c r="K74" s="731"/>
      <c r="L74" s="731"/>
      <c r="M74" s="731"/>
      <c r="N74" s="731"/>
      <c r="O74" s="731"/>
      <c r="P74" s="731"/>
      <c r="Q74" s="731"/>
      <c r="R74" s="731"/>
      <c r="S74" s="731"/>
      <c r="T74" s="731"/>
      <c r="U74" s="721"/>
      <c r="V74" s="739"/>
      <c r="W74" s="739"/>
      <c r="X74" s="739"/>
      <c r="Y74" s="691"/>
      <c r="Z74" s="691"/>
      <c r="AA74" s="736"/>
      <c r="AB74" s="736"/>
      <c r="AC74" s="691"/>
      <c r="AD74" s="691"/>
      <c r="AE74" s="691"/>
      <c r="AF74" s="691"/>
      <c r="AG74" s="691"/>
      <c r="AH74" s="691"/>
      <c r="AI74" s="691"/>
      <c r="AJ74" s="691"/>
      <c r="AK74" s="692"/>
      <c r="AL74" s="692"/>
      <c r="AM74" s="692"/>
      <c r="AN74" s="692"/>
      <c r="AO74" s="692"/>
      <c r="AP74" s="692"/>
    </row>
    <row r="75" spans="1:42" ht="15" x14ac:dyDescent="0.25">
      <c r="B75" s="733"/>
      <c r="C75" s="734"/>
      <c r="D75" s="740"/>
      <c r="E75" s="733"/>
      <c r="F75" s="741"/>
      <c r="G75" s="735"/>
      <c r="H75" s="735"/>
      <c r="I75" s="735"/>
      <c r="J75" s="735"/>
      <c r="K75" s="735"/>
      <c r="L75" s="735"/>
      <c r="M75" s="735"/>
      <c r="N75" s="735"/>
      <c r="O75" s="735"/>
      <c r="P75" s="735"/>
      <c r="Q75" s="735"/>
      <c r="R75" s="735"/>
      <c r="S75" s="735"/>
      <c r="T75" s="735"/>
      <c r="U75" s="732"/>
      <c r="V75" s="739"/>
      <c r="W75" s="739"/>
      <c r="X75" s="739"/>
      <c r="Y75" s="691"/>
      <c r="Z75" s="691"/>
      <c r="AA75" s="35"/>
      <c r="AB75" s="35"/>
      <c r="AC75" s="691"/>
      <c r="AD75" s="691"/>
      <c r="AE75" s="691"/>
      <c r="AF75" s="691"/>
      <c r="AG75" s="691"/>
      <c r="AH75" s="691"/>
      <c r="AI75" s="691"/>
      <c r="AJ75" s="691"/>
      <c r="AK75" s="692"/>
      <c r="AL75" s="692"/>
      <c r="AM75" s="692"/>
      <c r="AN75" s="692"/>
      <c r="AO75" s="692"/>
      <c r="AP75" s="692"/>
    </row>
    <row r="76" spans="1:42" ht="15" x14ac:dyDescent="0.25">
      <c r="B76" s="724"/>
      <c r="C76" s="725"/>
      <c r="D76" s="740"/>
      <c r="E76" s="740"/>
      <c r="F76" s="737"/>
      <c r="G76" s="741"/>
      <c r="H76" s="741"/>
      <c r="I76" s="741"/>
      <c r="J76" s="741"/>
      <c r="K76" s="741"/>
      <c r="L76" s="741"/>
      <c r="M76" s="741"/>
      <c r="N76" s="741"/>
      <c r="O76" s="741"/>
      <c r="P76" s="741"/>
      <c r="Q76" s="741"/>
      <c r="R76" s="741"/>
      <c r="S76" s="741"/>
      <c r="T76" s="741"/>
      <c r="U76" s="736"/>
      <c r="V76" s="35"/>
      <c r="W76" s="35"/>
      <c r="X76" s="35"/>
      <c r="Y76" s="35"/>
      <c r="Z76" s="35"/>
      <c r="AA76" s="35"/>
      <c r="AB76" s="35"/>
      <c r="AC76" s="691"/>
      <c r="AD76" s="691"/>
      <c r="AE76" s="691"/>
      <c r="AF76" s="691"/>
      <c r="AG76" s="691"/>
      <c r="AH76" s="691"/>
      <c r="AI76" s="691"/>
      <c r="AJ76" s="691"/>
      <c r="AK76" s="692"/>
      <c r="AL76" s="692"/>
      <c r="AM76" s="692"/>
      <c r="AN76" s="692"/>
      <c r="AO76" s="692"/>
      <c r="AP76" s="692"/>
    </row>
    <row r="77" spans="1:42" ht="15.75" x14ac:dyDescent="0.25">
      <c r="B77" s="741"/>
      <c r="C77" s="742"/>
      <c r="D77" s="737"/>
      <c r="E77" s="737"/>
      <c r="F77" s="737"/>
      <c r="G77" s="737"/>
      <c r="H77" s="737"/>
      <c r="I77" s="737"/>
      <c r="J77" s="737"/>
      <c r="K77" s="737"/>
      <c r="L77" s="737"/>
      <c r="M77" s="737"/>
      <c r="N77" s="737"/>
      <c r="O77" s="737"/>
      <c r="P77" s="737"/>
      <c r="Q77" s="737"/>
      <c r="R77" s="737"/>
      <c r="S77" s="737"/>
      <c r="T77" s="737"/>
      <c r="U77" s="739"/>
      <c r="V77" s="697"/>
      <c r="W77" s="697"/>
      <c r="X77" s="697"/>
      <c r="Y77" s="743"/>
      <c r="Z77" s="697"/>
      <c r="AA77" s="691"/>
      <c r="AB77" s="691"/>
      <c r="AC77" s="691"/>
      <c r="AD77" s="691"/>
      <c r="AE77" s="691"/>
      <c r="AF77" s="691"/>
      <c r="AG77" s="691"/>
      <c r="AH77" s="691"/>
      <c r="AI77" s="691"/>
      <c r="AJ77" s="691"/>
      <c r="AK77" s="692"/>
      <c r="AL77" s="692"/>
      <c r="AM77" s="692"/>
      <c r="AN77" s="692"/>
      <c r="AO77" s="692"/>
      <c r="AP77" s="692"/>
    </row>
    <row r="78" spans="1:42" ht="15.75" x14ac:dyDescent="0.25">
      <c r="B78" s="693"/>
      <c r="D78" s="717"/>
      <c r="E78" s="744"/>
      <c r="F78" s="745"/>
      <c r="G78" s="737"/>
      <c r="H78" s="737"/>
      <c r="I78" s="737"/>
      <c r="J78" s="737"/>
      <c r="K78" s="737"/>
      <c r="L78" s="737"/>
      <c r="M78" s="737"/>
      <c r="N78" s="737"/>
      <c r="O78" s="737"/>
      <c r="P78" s="737"/>
      <c r="Q78" s="737"/>
      <c r="R78" s="737"/>
      <c r="S78" s="737"/>
      <c r="T78" s="737"/>
      <c r="U78" s="739"/>
      <c r="V78" s="692"/>
      <c r="W78" s="692"/>
      <c r="X78" s="692"/>
      <c r="Y78" s="692"/>
      <c r="Z78" s="692"/>
      <c r="AA78" s="692"/>
      <c r="AB78" s="692"/>
      <c r="AC78" s="692"/>
      <c r="AD78" s="692"/>
      <c r="AE78" s="692"/>
      <c r="AF78" s="692"/>
      <c r="AG78" s="692"/>
      <c r="AH78" s="692"/>
      <c r="AI78" s="692"/>
      <c r="AJ78" s="692"/>
      <c r="AK78" s="692"/>
      <c r="AL78" s="692"/>
      <c r="AM78" s="692"/>
      <c r="AN78" s="692"/>
      <c r="AO78" s="692"/>
      <c r="AP78" s="692"/>
    </row>
    <row r="79" spans="1:42" ht="15" x14ac:dyDescent="0.25">
      <c r="G79" s="725"/>
      <c r="H79" s="725"/>
      <c r="I79" s="725"/>
      <c r="J79" s="725"/>
      <c r="K79" s="725"/>
      <c r="L79" s="725"/>
      <c r="M79" s="725"/>
      <c r="N79" s="725"/>
      <c r="O79" s="725"/>
      <c r="P79" s="725"/>
      <c r="Q79" s="725"/>
      <c r="R79" s="725"/>
      <c r="S79" s="725"/>
      <c r="T79" s="725"/>
      <c r="U79" s="35"/>
      <c r="V79" s="692"/>
      <c r="W79" s="692"/>
      <c r="X79" s="692"/>
      <c r="Y79" s="692"/>
      <c r="Z79" s="692"/>
      <c r="AA79" s="692"/>
      <c r="AB79" s="692"/>
      <c r="AC79" s="692"/>
      <c r="AD79" s="692"/>
      <c r="AE79" s="692"/>
      <c r="AF79" s="692"/>
      <c r="AG79" s="692"/>
      <c r="AH79" s="692"/>
      <c r="AI79" s="692"/>
      <c r="AJ79" s="692"/>
      <c r="AK79" s="692"/>
      <c r="AL79" s="692"/>
      <c r="AM79" s="692"/>
      <c r="AN79" s="692"/>
      <c r="AO79" s="692"/>
      <c r="AP79" s="692"/>
    </row>
    <row r="80" spans="1:42" ht="15" x14ac:dyDescent="0.2">
      <c r="G80" s="693"/>
      <c r="H80" s="693"/>
      <c r="I80" s="693"/>
      <c r="J80" s="693"/>
      <c r="K80" s="693"/>
      <c r="L80" s="693"/>
      <c r="M80" s="693"/>
      <c r="N80" s="693"/>
      <c r="O80" s="693"/>
      <c r="P80" s="693"/>
      <c r="Q80" s="693"/>
      <c r="R80" s="693"/>
      <c r="S80" s="693"/>
      <c r="T80" s="693"/>
      <c r="U80" s="748"/>
      <c r="V80" s="749"/>
      <c r="W80" s="749"/>
      <c r="X80" s="749"/>
      <c r="Y80" s="749"/>
      <c r="Z80" s="749"/>
      <c r="AA80" s="749"/>
      <c r="AB80" s="749"/>
      <c r="AC80" s="749"/>
      <c r="AD80" s="749"/>
      <c r="AE80" s="749"/>
      <c r="AF80" s="749"/>
      <c r="AG80" s="749"/>
      <c r="AH80" s="749"/>
      <c r="AI80" s="749"/>
      <c r="AJ80" s="749"/>
      <c r="AK80" s="749"/>
      <c r="AL80" s="749"/>
      <c r="AM80" s="749"/>
      <c r="AN80" s="749"/>
      <c r="AO80" s="749"/>
      <c r="AP80" s="749"/>
    </row>
    <row r="81" spans="22:42" x14ac:dyDescent="0.2">
      <c r="V81" s="749"/>
      <c r="W81" s="749"/>
      <c r="X81" s="749"/>
      <c r="Y81" s="749"/>
      <c r="Z81" s="749"/>
      <c r="AA81" s="749"/>
      <c r="AB81" s="749"/>
      <c r="AC81" s="749"/>
      <c r="AD81" s="749"/>
      <c r="AE81" s="749"/>
      <c r="AF81" s="749"/>
      <c r="AG81" s="749"/>
      <c r="AH81" s="749"/>
      <c r="AI81" s="749"/>
      <c r="AJ81" s="749"/>
      <c r="AK81" s="749"/>
      <c r="AL81" s="749"/>
      <c r="AM81" s="749"/>
      <c r="AN81" s="749"/>
      <c r="AO81" s="749"/>
      <c r="AP81" s="749"/>
    </row>
    <row r="82" spans="22:42" x14ac:dyDescent="0.2">
      <c r="V82" s="749"/>
      <c r="W82" s="749"/>
      <c r="X82" s="749"/>
      <c r="Y82" s="749"/>
      <c r="Z82" s="749"/>
      <c r="AA82" s="749"/>
      <c r="AB82" s="749"/>
      <c r="AC82" s="749"/>
      <c r="AD82" s="749"/>
      <c r="AE82" s="749"/>
      <c r="AF82" s="749"/>
      <c r="AG82" s="749"/>
      <c r="AH82" s="749"/>
      <c r="AI82" s="749"/>
      <c r="AJ82" s="749"/>
      <c r="AK82" s="749"/>
      <c r="AL82" s="749"/>
      <c r="AM82" s="749"/>
      <c r="AN82" s="749"/>
      <c r="AO82" s="749"/>
      <c r="AP82" s="749"/>
    </row>
    <row r="83" spans="22:42" x14ac:dyDescent="0.2">
      <c r="V83" s="749"/>
      <c r="W83" s="749"/>
      <c r="X83" s="749"/>
      <c r="Y83" s="749"/>
      <c r="Z83" s="749"/>
      <c r="AA83" s="749"/>
      <c r="AB83" s="749"/>
      <c r="AC83" s="749"/>
      <c r="AD83" s="749"/>
      <c r="AE83" s="749"/>
      <c r="AF83" s="749"/>
      <c r="AG83" s="749"/>
      <c r="AH83" s="749"/>
      <c r="AI83" s="749"/>
      <c r="AJ83" s="749"/>
      <c r="AK83" s="749"/>
      <c r="AL83" s="749"/>
      <c r="AM83" s="749"/>
      <c r="AN83" s="749"/>
      <c r="AO83" s="749"/>
      <c r="AP83" s="749"/>
    </row>
    <row r="84" spans="22:42" x14ac:dyDescent="0.2">
      <c r="V84" s="749"/>
      <c r="W84" s="749"/>
      <c r="X84" s="749"/>
      <c r="Y84" s="749"/>
      <c r="Z84" s="749"/>
      <c r="AA84" s="749"/>
      <c r="AB84" s="749"/>
      <c r="AC84" s="749"/>
      <c r="AD84" s="749"/>
      <c r="AE84" s="749"/>
      <c r="AF84" s="749"/>
      <c r="AG84" s="749"/>
      <c r="AH84" s="749"/>
      <c r="AI84" s="749"/>
      <c r="AJ84" s="749"/>
      <c r="AK84" s="749"/>
      <c r="AL84" s="749"/>
      <c r="AM84" s="749"/>
      <c r="AN84" s="749"/>
      <c r="AO84" s="749"/>
      <c r="AP84" s="749"/>
    </row>
    <row r="85" spans="22:42" x14ac:dyDescent="0.2">
      <c r="V85" s="749"/>
      <c r="W85" s="749"/>
      <c r="X85" s="749"/>
      <c r="Y85" s="749"/>
      <c r="Z85" s="749"/>
      <c r="AA85" s="749"/>
      <c r="AB85" s="749"/>
      <c r="AC85" s="749"/>
      <c r="AD85" s="749"/>
      <c r="AE85" s="749"/>
      <c r="AF85" s="749"/>
      <c r="AG85" s="749"/>
      <c r="AH85" s="749"/>
      <c r="AI85" s="749"/>
      <c r="AJ85" s="749"/>
      <c r="AK85" s="749"/>
      <c r="AL85" s="749"/>
      <c r="AM85" s="749"/>
      <c r="AN85" s="749"/>
      <c r="AO85" s="749"/>
      <c r="AP85" s="749"/>
    </row>
    <row r="86" spans="22:42" x14ac:dyDescent="0.2">
      <c r="V86" s="749"/>
      <c r="W86" s="749"/>
      <c r="X86" s="749"/>
      <c r="Y86" s="749"/>
      <c r="Z86" s="749"/>
      <c r="AA86" s="749"/>
      <c r="AB86" s="749"/>
      <c r="AC86" s="749"/>
      <c r="AD86" s="749"/>
      <c r="AE86" s="749"/>
      <c r="AF86" s="749"/>
      <c r="AG86" s="749"/>
      <c r="AH86" s="749"/>
      <c r="AI86" s="749"/>
      <c r="AJ86" s="749"/>
      <c r="AK86" s="749"/>
      <c r="AL86" s="749"/>
      <c r="AM86" s="749"/>
      <c r="AN86" s="749"/>
      <c r="AO86" s="749"/>
      <c r="AP86" s="749"/>
    </row>
    <row r="87" spans="22:42" x14ac:dyDescent="0.2">
      <c r="V87" s="749"/>
      <c r="W87" s="749"/>
      <c r="X87" s="749"/>
      <c r="Y87" s="749"/>
      <c r="Z87" s="749"/>
      <c r="AA87" s="749"/>
      <c r="AB87" s="749"/>
      <c r="AC87" s="749"/>
      <c r="AD87" s="749"/>
      <c r="AE87" s="749"/>
      <c r="AF87" s="749"/>
      <c r="AG87" s="749"/>
      <c r="AH87" s="749"/>
      <c r="AI87" s="749"/>
      <c r="AJ87" s="749"/>
      <c r="AK87" s="749"/>
      <c r="AL87" s="749"/>
      <c r="AM87" s="749"/>
      <c r="AN87" s="749"/>
      <c r="AO87" s="749"/>
      <c r="AP87" s="749"/>
    </row>
    <row r="88" spans="22:42" x14ac:dyDescent="0.2">
      <c r="V88" s="749"/>
      <c r="W88" s="749"/>
      <c r="X88" s="749"/>
      <c r="Y88" s="749"/>
      <c r="Z88" s="749"/>
      <c r="AA88" s="749"/>
      <c r="AB88" s="749"/>
      <c r="AC88" s="749"/>
      <c r="AD88" s="749"/>
      <c r="AE88" s="749"/>
      <c r="AF88" s="749"/>
      <c r="AG88" s="749"/>
      <c r="AH88" s="749"/>
      <c r="AI88" s="749"/>
      <c r="AJ88" s="749"/>
      <c r="AK88" s="749"/>
      <c r="AL88" s="749"/>
      <c r="AM88" s="749"/>
      <c r="AN88" s="749"/>
      <c r="AO88" s="749"/>
      <c r="AP88" s="749"/>
    </row>
    <row r="89" spans="22:42" x14ac:dyDescent="0.2">
      <c r="V89" s="749"/>
      <c r="W89" s="749"/>
      <c r="X89" s="749"/>
      <c r="Y89" s="749"/>
      <c r="Z89" s="749"/>
      <c r="AA89" s="749"/>
      <c r="AB89" s="749"/>
      <c r="AC89" s="749"/>
      <c r="AD89" s="749"/>
      <c r="AE89" s="749"/>
      <c r="AF89" s="749"/>
      <c r="AG89" s="749"/>
      <c r="AH89" s="749"/>
      <c r="AI89" s="749"/>
      <c r="AJ89" s="749"/>
      <c r="AK89" s="749"/>
      <c r="AL89" s="749"/>
      <c r="AM89" s="749"/>
      <c r="AN89" s="749"/>
      <c r="AO89" s="749"/>
      <c r="AP89" s="749"/>
    </row>
    <row r="90" spans="22:42" x14ac:dyDescent="0.2">
      <c r="V90" s="749"/>
      <c r="W90" s="749"/>
      <c r="X90" s="749"/>
      <c r="Y90" s="749"/>
      <c r="Z90" s="749"/>
      <c r="AA90" s="749"/>
      <c r="AB90" s="749"/>
      <c r="AC90" s="749"/>
      <c r="AD90" s="749"/>
      <c r="AE90" s="749"/>
      <c r="AF90" s="749"/>
      <c r="AG90" s="749"/>
      <c r="AH90" s="749"/>
      <c r="AI90" s="749"/>
      <c r="AJ90" s="749"/>
      <c r="AK90" s="749"/>
      <c r="AL90" s="749"/>
      <c r="AM90" s="749"/>
      <c r="AN90" s="749"/>
      <c r="AO90" s="749"/>
      <c r="AP90" s="749"/>
    </row>
    <row r="91" spans="22:42" x14ac:dyDescent="0.2">
      <c r="V91" s="749"/>
      <c r="W91" s="749"/>
      <c r="X91" s="749"/>
      <c r="Y91" s="749"/>
      <c r="Z91" s="749"/>
      <c r="AA91" s="749"/>
      <c r="AB91" s="749"/>
      <c r="AC91" s="749"/>
      <c r="AD91" s="749"/>
      <c r="AE91" s="749"/>
      <c r="AF91" s="749"/>
      <c r="AG91" s="749"/>
      <c r="AH91" s="749"/>
      <c r="AI91" s="749"/>
      <c r="AJ91" s="749"/>
      <c r="AK91" s="749"/>
      <c r="AL91" s="749"/>
      <c r="AM91" s="749"/>
      <c r="AN91" s="749"/>
      <c r="AO91" s="749"/>
      <c r="AP91" s="749"/>
    </row>
    <row r="92" spans="22:42" x14ac:dyDescent="0.2">
      <c r="V92" s="749"/>
      <c r="W92" s="749"/>
      <c r="X92" s="749"/>
      <c r="Y92" s="749"/>
      <c r="Z92" s="749"/>
      <c r="AA92" s="749"/>
      <c r="AB92" s="749"/>
      <c r="AC92" s="749"/>
      <c r="AD92" s="749"/>
      <c r="AE92" s="749"/>
      <c r="AF92" s="749"/>
      <c r="AG92" s="749"/>
      <c r="AH92" s="749"/>
      <c r="AI92" s="749"/>
      <c r="AJ92" s="749"/>
      <c r="AK92" s="749"/>
      <c r="AL92" s="749"/>
      <c r="AM92" s="749"/>
      <c r="AN92" s="749"/>
      <c r="AO92" s="749"/>
      <c r="AP92" s="749"/>
    </row>
    <row r="93" spans="22:42" x14ac:dyDescent="0.2">
      <c r="V93" s="749"/>
      <c r="W93" s="749"/>
      <c r="X93" s="749"/>
      <c r="Y93" s="749"/>
      <c r="Z93" s="749"/>
      <c r="AA93" s="749"/>
      <c r="AB93" s="749"/>
      <c r="AC93" s="749"/>
      <c r="AD93" s="749"/>
      <c r="AE93" s="749"/>
      <c r="AF93" s="749"/>
      <c r="AG93" s="749"/>
      <c r="AH93" s="749"/>
      <c r="AI93" s="749"/>
      <c r="AJ93" s="749"/>
      <c r="AK93" s="749"/>
      <c r="AL93" s="749"/>
      <c r="AM93" s="749"/>
      <c r="AN93" s="749"/>
      <c r="AO93" s="749"/>
      <c r="AP93" s="749"/>
    </row>
    <row r="94" spans="22:42" x14ac:dyDescent="0.2">
      <c r="V94" s="749"/>
      <c r="W94" s="749"/>
      <c r="X94" s="749"/>
      <c r="Y94" s="749"/>
      <c r="Z94" s="749"/>
      <c r="AA94" s="749"/>
      <c r="AB94" s="749"/>
      <c r="AC94" s="749"/>
      <c r="AD94" s="749"/>
      <c r="AE94" s="749"/>
      <c r="AF94" s="749"/>
      <c r="AG94" s="749"/>
      <c r="AH94" s="749"/>
      <c r="AI94" s="749"/>
      <c r="AJ94" s="749"/>
      <c r="AK94" s="749"/>
      <c r="AL94" s="749"/>
      <c r="AM94" s="749"/>
      <c r="AN94" s="749"/>
      <c r="AO94" s="749"/>
      <c r="AP94" s="749"/>
    </row>
    <row r="95" spans="22:42" x14ac:dyDescent="0.2">
      <c r="V95" s="749"/>
      <c r="W95" s="749"/>
      <c r="X95" s="749"/>
      <c r="Y95" s="749"/>
      <c r="Z95" s="749"/>
      <c r="AA95" s="749"/>
      <c r="AB95" s="749"/>
      <c r="AC95" s="749"/>
      <c r="AD95" s="749"/>
      <c r="AE95" s="749"/>
      <c r="AF95" s="749"/>
      <c r="AG95" s="749"/>
      <c r="AH95" s="749"/>
      <c r="AI95" s="749"/>
      <c r="AJ95" s="749"/>
      <c r="AK95" s="749"/>
      <c r="AL95" s="749"/>
      <c r="AM95" s="749"/>
      <c r="AN95" s="749"/>
      <c r="AO95" s="749"/>
      <c r="AP95" s="749"/>
    </row>
    <row r="96" spans="22:42" x14ac:dyDescent="0.2">
      <c r="V96" s="749"/>
      <c r="W96" s="749"/>
      <c r="X96" s="749"/>
      <c r="Y96" s="749"/>
      <c r="Z96" s="749"/>
      <c r="AA96" s="749"/>
      <c r="AB96" s="749"/>
      <c r="AC96" s="749"/>
      <c r="AD96" s="749"/>
      <c r="AE96" s="749"/>
      <c r="AF96" s="749"/>
      <c r="AG96" s="749"/>
      <c r="AH96" s="749"/>
      <c r="AI96" s="749"/>
      <c r="AJ96" s="749"/>
      <c r="AK96" s="749"/>
      <c r="AL96" s="749"/>
      <c r="AM96" s="749"/>
      <c r="AN96" s="749"/>
      <c r="AO96" s="749"/>
      <c r="AP96" s="749"/>
    </row>
  </sheetData>
  <sheetProtection password="C1BB" sheet="1" objects="1" scenarios="1"/>
  <mergeCells count="6">
    <mergeCell ref="D64:F64"/>
    <mergeCell ref="D65:F65"/>
    <mergeCell ref="E21:F21"/>
    <mergeCell ref="E61:F61"/>
    <mergeCell ref="D62:F62"/>
    <mergeCell ref="D63:F63"/>
  </mergeCells>
  <phoneticPr fontId="87" type="noConversion"/>
  <pageMargins left="0.39370078740157477" right="0.39370078740157477" top="0.39370078740157477" bottom="0.39370078740157477" header="0.19685039370078738" footer="0.19685039370078738"/>
  <pageSetup paperSize="9" scale="78" orientation="portrait" blackAndWhite="1"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45"/>
  <sheetViews>
    <sheetView topLeftCell="F1" zoomScale="75" zoomScaleNormal="75" workbookViewId="0">
      <selection activeCell="L31" sqref="L31"/>
    </sheetView>
  </sheetViews>
  <sheetFormatPr defaultRowHeight="15" x14ac:dyDescent="0.2"/>
  <cols>
    <col min="1" max="1" width="39.7109375" style="6" customWidth="1"/>
    <col min="2" max="2" width="16.5703125" style="6" customWidth="1"/>
    <col min="3" max="3" width="14.85546875" style="6" customWidth="1"/>
    <col min="4" max="4" width="11.28515625" style="6" customWidth="1"/>
    <col min="5" max="5" width="34.42578125" style="6" customWidth="1"/>
    <col min="6" max="6" width="15.28515625" style="6" customWidth="1"/>
    <col min="7" max="7" width="13.28515625" style="6" bestFit="1" customWidth="1"/>
    <col min="8" max="8" width="13.7109375" style="6" customWidth="1"/>
    <col min="9" max="9" width="9.42578125" style="6" customWidth="1"/>
    <col min="10" max="10" width="9.140625" style="6"/>
    <col min="11" max="11" width="5.140625" style="6" customWidth="1"/>
    <col min="12" max="12" width="9.140625" style="6"/>
    <col min="13" max="13" width="6.140625" style="6" customWidth="1"/>
    <col min="14" max="14" width="4" style="6" customWidth="1"/>
    <col min="15" max="15" width="4.28515625" style="6" customWidth="1"/>
    <col min="16" max="16" width="28.85546875" style="6" customWidth="1"/>
    <col min="17" max="17" width="23.28515625" style="6" customWidth="1"/>
    <col min="18" max="16384" width="9.140625" style="6"/>
  </cols>
  <sheetData>
    <row r="1" spans="1:25" ht="18" x14ac:dyDescent="0.25">
      <c r="A1" s="20" t="s">
        <v>249</v>
      </c>
      <c r="J1" s="956" t="s">
        <v>248</v>
      </c>
      <c r="K1" s="956"/>
      <c r="L1" s="956"/>
      <c r="M1" s="956"/>
    </row>
    <row r="2" spans="1:25" ht="15.75" thickBot="1" x14ac:dyDescent="0.25"/>
    <row r="3" spans="1:25" ht="18.75" thickBot="1" x14ac:dyDescent="0.3">
      <c r="A3" s="3" t="s">
        <v>12</v>
      </c>
      <c r="B3" s="4"/>
      <c r="C3" s="5"/>
      <c r="E3" s="15" t="s">
        <v>99</v>
      </c>
      <c r="F3" s="537"/>
      <c r="G3" s="537"/>
      <c r="H3" s="538"/>
      <c r="J3" s="22"/>
      <c r="K3" s="11"/>
      <c r="L3" s="21"/>
      <c r="M3" s="21"/>
      <c r="P3" s="549"/>
      <c r="Q3" s="950" t="s">
        <v>470</v>
      </c>
      <c r="R3" s="951"/>
      <c r="S3" s="951"/>
      <c r="T3" s="951"/>
      <c r="U3" s="951"/>
      <c r="V3" s="951"/>
      <c r="W3" s="951"/>
      <c r="X3" s="952"/>
    </row>
    <row r="4" spans="1:25" ht="18.75" thickBot="1" x14ac:dyDescent="0.3">
      <c r="A4" s="15" t="s">
        <v>431</v>
      </c>
      <c r="B4" s="16"/>
      <c r="C4" s="519"/>
      <c r="E4" s="529" t="s">
        <v>61</v>
      </c>
      <c r="F4" s="11" t="s">
        <v>63</v>
      </c>
      <c r="G4" s="13"/>
      <c r="H4" s="539" t="s">
        <v>3</v>
      </c>
      <c r="J4" s="967"/>
      <c r="K4" s="967"/>
      <c r="L4" s="959"/>
      <c r="M4" s="959"/>
      <c r="P4" s="550"/>
      <c r="Q4" s="551" t="s">
        <v>220</v>
      </c>
      <c r="R4" s="552" t="s">
        <v>206</v>
      </c>
      <c r="S4" s="552" t="s">
        <v>273</v>
      </c>
      <c r="T4" s="552" t="s">
        <v>230</v>
      </c>
      <c r="U4" s="953" t="s">
        <v>293</v>
      </c>
      <c r="V4" s="954"/>
      <c r="W4" s="954"/>
      <c r="X4" s="955"/>
    </row>
    <row r="5" spans="1:25" ht="18" x14ac:dyDescent="0.25">
      <c r="A5" s="520" t="s">
        <v>432</v>
      </c>
      <c r="B5" s="18"/>
      <c r="C5" s="521"/>
      <c r="E5" s="529" t="s">
        <v>6</v>
      </c>
      <c r="F5" s="11" t="s">
        <v>63</v>
      </c>
      <c r="G5" s="13"/>
      <c r="H5" s="539" t="s">
        <v>3</v>
      </c>
      <c r="J5" s="967"/>
      <c r="K5" s="967"/>
      <c r="L5" s="959"/>
      <c r="M5" s="959"/>
      <c r="P5" s="553" t="s">
        <v>460</v>
      </c>
      <c r="Q5" s="554" t="s">
        <v>463</v>
      </c>
      <c r="R5" s="555" t="s">
        <v>160</v>
      </c>
      <c r="S5" s="555" t="s">
        <v>160</v>
      </c>
      <c r="T5" s="555" t="s">
        <v>160</v>
      </c>
      <c r="U5" s="555" t="s">
        <v>207</v>
      </c>
      <c r="V5" s="555" t="s">
        <v>18</v>
      </c>
      <c r="W5" s="555" t="s">
        <v>37</v>
      </c>
      <c r="X5" s="556" t="s">
        <v>147</v>
      </c>
      <c r="Y5" s="23"/>
    </row>
    <row r="6" spans="1:25" ht="18" x14ac:dyDescent="0.25">
      <c r="A6" s="522" t="s">
        <v>433</v>
      </c>
      <c r="B6" s="11" t="s">
        <v>434</v>
      </c>
      <c r="C6" s="521"/>
      <c r="E6" s="529" t="s">
        <v>64</v>
      </c>
      <c r="F6" s="11" t="s">
        <v>63</v>
      </c>
      <c r="G6" s="8"/>
      <c r="H6" s="539"/>
      <c r="J6" s="957"/>
      <c r="K6" s="958"/>
      <c r="L6" s="960"/>
      <c r="M6" s="961"/>
      <c r="P6" s="557" t="s">
        <v>461</v>
      </c>
      <c r="Q6" s="558"/>
      <c r="R6" s="559"/>
      <c r="S6" s="559"/>
      <c r="T6" s="559"/>
      <c r="U6" s="560"/>
      <c r="V6" s="560"/>
      <c r="W6" s="560"/>
      <c r="X6" s="561"/>
      <c r="Y6" s="24"/>
    </row>
    <row r="7" spans="1:25" ht="15.75" x14ac:dyDescent="0.25">
      <c r="A7" s="522" t="s">
        <v>352</v>
      </c>
      <c r="B7" s="11" t="s">
        <v>354</v>
      </c>
      <c r="C7" s="523"/>
      <c r="E7" s="529" t="s">
        <v>281</v>
      </c>
      <c r="F7" s="11" t="s">
        <v>63</v>
      </c>
      <c r="G7" s="13"/>
      <c r="H7" s="539"/>
      <c r="L7" s="960"/>
      <c r="M7" s="961"/>
      <c r="P7" s="562" t="s">
        <v>465</v>
      </c>
      <c r="Q7" s="558"/>
      <c r="R7" s="559"/>
      <c r="S7" s="559"/>
      <c r="T7" s="559"/>
      <c r="U7" s="560"/>
      <c r="V7" s="560"/>
      <c r="W7" s="560"/>
      <c r="X7" s="561"/>
      <c r="Y7" s="23"/>
    </row>
    <row r="8" spans="1:25" ht="18" x14ac:dyDescent="0.25">
      <c r="A8" s="522" t="s">
        <v>353</v>
      </c>
      <c r="B8" s="11" t="s">
        <v>435</v>
      </c>
      <c r="C8" s="523"/>
      <c r="E8" s="529" t="s">
        <v>395</v>
      </c>
      <c r="F8" s="11" t="s">
        <v>63</v>
      </c>
      <c r="G8" s="13"/>
      <c r="H8" s="539"/>
      <c r="J8" s="965"/>
      <c r="K8" s="966"/>
      <c r="L8" s="25"/>
      <c r="M8" s="25"/>
      <c r="P8" s="557"/>
      <c r="Q8" s="558"/>
      <c r="R8" s="559"/>
      <c r="S8" s="559"/>
      <c r="T8" s="559"/>
      <c r="U8" s="560"/>
      <c r="V8" s="560"/>
      <c r="W8" s="560"/>
      <c r="X8" s="561"/>
    </row>
    <row r="9" spans="1:25" ht="18" x14ac:dyDescent="0.25">
      <c r="A9" s="524" t="s">
        <v>558</v>
      </c>
      <c r="B9" s="19" t="s">
        <v>58</v>
      </c>
      <c r="C9" s="523"/>
      <c r="E9" s="529" t="s">
        <v>395</v>
      </c>
      <c r="F9" s="11" t="s">
        <v>63</v>
      </c>
      <c r="G9" s="13"/>
      <c r="H9" s="539"/>
      <c r="J9" s="957"/>
      <c r="K9" s="958"/>
      <c r="L9" s="25"/>
      <c r="M9" s="25"/>
      <c r="P9" s="557"/>
      <c r="Q9" s="558"/>
      <c r="R9" s="559"/>
      <c r="S9" s="559"/>
      <c r="T9" s="559"/>
      <c r="U9" s="560"/>
      <c r="V9" s="560"/>
      <c r="W9" s="560"/>
      <c r="X9" s="561"/>
    </row>
    <row r="10" spans="1:25" ht="18.75" thickBot="1" x14ac:dyDescent="0.3">
      <c r="A10" s="522" t="s">
        <v>437</v>
      </c>
      <c r="B10" s="11" t="s">
        <v>438</v>
      </c>
      <c r="C10" s="525"/>
      <c r="E10" s="529" t="s">
        <v>65</v>
      </c>
      <c r="F10" s="11" t="s">
        <v>63</v>
      </c>
      <c r="G10" s="13"/>
      <c r="H10" s="539"/>
      <c r="J10" s="957"/>
      <c r="K10" s="958"/>
      <c r="L10" s="960"/>
      <c r="M10" s="961"/>
      <c r="P10" s="563"/>
      <c r="Q10" s="564"/>
      <c r="R10" s="565"/>
      <c r="S10" s="565"/>
      <c r="T10" s="565"/>
      <c r="U10" s="566"/>
      <c r="V10" s="566"/>
      <c r="W10" s="566"/>
      <c r="X10" s="567"/>
    </row>
    <row r="11" spans="1:25" ht="18" x14ac:dyDescent="0.25">
      <c r="A11" s="522" t="s">
        <v>274</v>
      </c>
      <c r="B11" s="11" t="s">
        <v>439</v>
      </c>
      <c r="C11" s="526"/>
      <c r="E11" s="529" t="s">
        <v>388</v>
      </c>
      <c r="F11" s="11" t="s">
        <v>63</v>
      </c>
      <c r="G11" s="13"/>
      <c r="H11" s="539"/>
      <c r="J11" s="957"/>
      <c r="K11" s="958"/>
      <c r="L11" s="960"/>
      <c r="M11" s="961"/>
      <c r="P11" s="568" t="s">
        <v>464</v>
      </c>
      <c r="Q11" s="569"/>
      <c r="R11" s="570"/>
      <c r="S11" s="570"/>
      <c r="T11" s="570"/>
      <c r="U11" s="571"/>
      <c r="V11" s="571"/>
      <c r="W11" s="571"/>
      <c r="X11" s="572"/>
    </row>
    <row r="12" spans="1:25" ht="18" x14ac:dyDescent="0.25">
      <c r="A12" s="522" t="s">
        <v>46</v>
      </c>
      <c r="B12" s="11" t="s">
        <v>435</v>
      </c>
      <c r="C12" s="523"/>
      <c r="E12" s="529" t="s">
        <v>389</v>
      </c>
      <c r="F12" s="11" t="s">
        <v>63</v>
      </c>
      <c r="G12" s="13"/>
      <c r="H12" s="539"/>
      <c r="J12" s="965"/>
      <c r="K12" s="966"/>
      <c r="L12" s="960"/>
      <c r="M12" s="961"/>
      <c r="P12" s="573"/>
      <c r="Q12" s="574"/>
      <c r="R12" s="575"/>
      <c r="S12" s="575"/>
      <c r="T12" s="575"/>
      <c r="U12" s="560"/>
      <c r="V12" s="576"/>
      <c r="W12" s="576"/>
      <c r="X12" s="577"/>
    </row>
    <row r="13" spans="1:25" ht="18.75" thickBot="1" x14ac:dyDescent="0.3">
      <c r="A13" s="522" t="s">
        <v>275</v>
      </c>
      <c r="B13" s="11" t="s">
        <v>83</v>
      </c>
      <c r="C13" s="527"/>
      <c r="E13" s="529" t="s">
        <v>270</v>
      </c>
      <c r="F13" s="11" t="s">
        <v>63</v>
      </c>
      <c r="G13" s="13"/>
      <c r="H13" s="530"/>
      <c r="J13" s="957"/>
      <c r="K13" s="958"/>
      <c r="L13" s="960"/>
      <c r="M13" s="961"/>
      <c r="P13" s="563"/>
      <c r="Q13" s="578"/>
      <c r="R13" s="579"/>
      <c r="S13" s="579"/>
      <c r="T13" s="579"/>
      <c r="U13" s="566"/>
      <c r="V13" s="566"/>
      <c r="W13" s="566"/>
      <c r="X13" s="567"/>
    </row>
    <row r="14" spans="1:25" ht="18" x14ac:dyDescent="0.25">
      <c r="A14" s="522" t="s">
        <v>522</v>
      </c>
      <c r="B14" s="11" t="s">
        <v>58</v>
      </c>
      <c r="C14" s="525"/>
      <c r="E14" s="529" t="s">
        <v>9</v>
      </c>
      <c r="F14" s="11" t="s">
        <v>63</v>
      </c>
      <c r="G14" s="13"/>
      <c r="H14" s="29"/>
      <c r="J14" s="957"/>
      <c r="K14" s="958"/>
      <c r="L14" s="960"/>
      <c r="M14" s="961"/>
      <c r="P14" s="568" t="s">
        <v>35</v>
      </c>
      <c r="Q14" s="569"/>
      <c r="R14" s="570"/>
      <c r="S14" s="570"/>
      <c r="T14" s="570"/>
      <c r="U14" s="571"/>
      <c r="V14" s="571"/>
      <c r="W14" s="571"/>
      <c r="X14" s="572"/>
    </row>
    <row r="15" spans="1:25" ht="18" x14ac:dyDescent="0.25">
      <c r="A15" s="522" t="s">
        <v>268</v>
      </c>
      <c r="B15" s="11" t="s">
        <v>59</v>
      </c>
      <c r="C15" s="528"/>
      <c r="E15" s="529" t="s">
        <v>390</v>
      </c>
      <c r="F15" s="11" t="s">
        <v>63</v>
      </c>
      <c r="G15" s="14"/>
      <c r="H15" s="29"/>
      <c r="J15" s="957"/>
      <c r="K15" s="958"/>
      <c r="L15" s="960"/>
      <c r="M15" s="961"/>
      <c r="P15" s="557"/>
      <c r="Q15" s="574"/>
      <c r="R15" s="559"/>
      <c r="S15" s="559"/>
      <c r="T15" s="559"/>
      <c r="U15" s="560"/>
      <c r="V15" s="560"/>
      <c r="W15" s="560"/>
      <c r="X15" s="561"/>
    </row>
    <row r="16" spans="1:25" ht="18" x14ac:dyDescent="0.25">
      <c r="A16" s="529" t="s">
        <v>559</v>
      </c>
      <c r="B16" s="11" t="s">
        <v>441</v>
      </c>
      <c r="C16" s="530"/>
      <c r="E16" s="529" t="s">
        <v>394</v>
      </c>
      <c r="F16" s="11" t="s">
        <v>63</v>
      </c>
      <c r="G16" s="13"/>
      <c r="H16" s="29"/>
      <c r="J16" s="957"/>
      <c r="K16" s="958"/>
      <c r="L16" s="960"/>
      <c r="M16" s="961"/>
      <c r="P16" s="557"/>
      <c r="Q16" s="574"/>
      <c r="R16" s="559"/>
      <c r="S16" s="559"/>
      <c r="T16" s="559"/>
      <c r="U16" s="560"/>
      <c r="V16" s="560"/>
      <c r="W16" s="560"/>
      <c r="X16" s="561"/>
    </row>
    <row r="17" spans="1:24" ht="18.75" thickBot="1" x14ac:dyDescent="0.3">
      <c r="A17" s="531" t="s">
        <v>387</v>
      </c>
      <c r="B17" s="532" t="s">
        <v>442</v>
      </c>
      <c r="C17" s="533"/>
      <c r="E17" s="529" t="s">
        <v>383</v>
      </c>
      <c r="F17" s="11" t="s">
        <v>63</v>
      </c>
      <c r="G17" s="13"/>
      <c r="H17" s="29"/>
      <c r="J17" s="957"/>
      <c r="K17" s="958"/>
      <c r="L17" s="960"/>
      <c r="M17" s="961"/>
      <c r="P17" s="557"/>
      <c r="Q17" s="574"/>
      <c r="R17" s="559"/>
      <c r="S17" s="559"/>
      <c r="T17" s="559"/>
      <c r="U17" s="560"/>
      <c r="V17" s="560"/>
      <c r="W17" s="560"/>
      <c r="X17" s="561"/>
    </row>
    <row r="18" spans="1:24" ht="18.75" thickBot="1" x14ac:dyDescent="0.3">
      <c r="E18" s="529" t="s">
        <v>7</v>
      </c>
      <c r="F18" s="11" t="s">
        <v>63</v>
      </c>
      <c r="G18" s="14"/>
      <c r="H18" s="29"/>
      <c r="J18" s="957"/>
      <c r="K18" s="958"/>
      <c r="L18" s="960"/>
      <c r="M18" s="961"/>
      <c r="P18" s="557"/>
      <c r="Q18" s="574"/>
      <c r="R18" s="559"/>
      <c r="S18" s="559"/>
      <c r="T18" s="559"/>
      <c r="U18" s="560"/>
      <c r="V18" s="560"/>
      <c r="W18" s="560"/>
      <c r="X18" s="561"/>
    </row>
    <row r="19" spans="1:24" ht="18.75" thickBot="1" x14ac:dyDescent="0.3">
      <c r="A19" s="9" t="s">
        <v>57</v>
      </c>
      <c r="B19" s="534"/>
      <c r="C19" s="535" t="s">
        <v>157</v>
      </c>
      <c r="E19" s="529" t="s">
        <v>8</v>
      </c>
      <c r="F19" s="11" t="s">
        <v>3</v>
      </c>
      <c r="G19" s="13"/>
      <c r="H19" s="29"/>
      <c r="J19" s="957"/>
      <c r="K19" s="958"/>
      <c r="L19" s="960"/>
      <c r="M19" s="961"/>
      <c r="P19" s="563"/>
      <c r="Q19" s="578"/>
      <c r="R19" s="565"/>
      <c r="S19" s="565"/>
      <c r="T19" s="565"/>
      <c r="U19" s="566"/>
      <c r="V19" s="566"/>
      <c r="W19" s="566"/>
      <c r="X19" s="567"/>
    </row>
    <row r="20" spans="1:24" ht="18" x14ac:dyDescent="0.25">
      <c r="A20" s="10" t="s">
        <v>2</v>
      </c>
      <c r="B20" s="17"/>
      <c r="C20" s="29"/>
      <c r="E20" s="529" t="s">
        <v>67</v>
      </c>
      <c r="F20" s="11" t="s">
        <v>68</v>
      </c>
      <c r="G20" s="13"/>
      <c r="H20" s="29"/>
      <c r="J20" s="957"/>
      <c r="K20" s="958"/>
      <c r="L20" s="960"/>
      <c r="M20" s="961"/>
      <c r="P20" s="568" t="s">
        <v>462</v>
      </c>
      <c r="Q20" s="569"/>
      <c r="R20" s="570"/>
      <c r="S20" s="570"/>
      <c r="T20" s="570"/>
      <c r="U20" s="571"/>
      <c r="V20" s="571"/>
      <c r="W20" s="571"/>
      <c r="X20" s="572"/>
    </row>
    <row r="21" spans="1:24" ht="18" x14ac:dyDescent="0.25">
      <c r="A21" s="529" t="s">
        <v>86</v>
      </c>
      <c r="B21" s="11" t="s">
        <v>83</v>
      </c>
      <c r="C21" s="527"/>
      <c r="E21" s="529" t="s">
        <v>69</v>
      </c>
      <c r="F21" s="11" t="s">
        <v>68</v>
      </c>
      <c r="G21" s="13"/>
      <c r="H21" s="29"/>
      <c r="J21" s="589" t="s">
        <v>562</v>
      </c>
      <c r="P21" s="557"/>
      <c r="Q21" s="574"/>
      <c r="R21" s="559"/>
      <c r="S21" s="559"/>
      <c r="T21" s="559"/>
      <c r="U21" s="560"/>
      <c r="V21" s="580"/>
      <c r="W21" s="580"/>
      <c r="X21" s="581"/>
    </row>
    <row r="22" spans="1:24" ht="18" x14ac:dyDescent="0.25">
      <c r="A22" s="529" t="s">
        <v>85</v>
      </c>
      <c r="B22" s="11" t="s">
        <v>83</v>
      </c>
      <c r="C22" s="527"/>
      <c r="E22" s="529" t="s">
        <v>282</v>
      </c>
      <c r="F22" s="11" t="s">
        <v>3</v>
      </c>
      <c r="G22" s="13"/>
      <c r="H22" s="29"/>
      <c r="P22" s="557"/>
      <c r="Q22" s="574"/>
      <c r="R22" s="559"/>
      <c r="S22" s="559"/>
      <c r="T22" s="559"/>
      <c r="U22" s="560"/>
      <c r="V22" s="580"/>
      <c r="W22" s="580"/>
      <c r="X22" s="581"/>
    </row>
    <row r="23" spans="1:24" ht="18.75" thickBot="1" x14ac:dyDescent="0.3">
      <c r="A23" s="529" t="s">
        <v>87</v>
      </c>
      <c r="B23" s="11" t="s">
        <v>83</v>
      </c>
      <c r="C23" s="527"/>
      <c r="E23" s="531" t="s">
        <v>454</v>
      </c>
      <c r="F23" s="532" t="s">
        <v>245</v>
      </c>
      <c r="G23" s="532"/>
      <c r="H23" s="27"/>
      <c r="P23" s="563"/>
      <c r="Q23" s="578"/>
      <c r="R23" s="565"/>
      <c r="S23" s="565"/>
      <c r="T23" s="565"/>
      <c r="U23" s="566"/>
      <c r="V23" s="566"/>
      <c r="W23" s="566"/>
      <c r="X23" s="567"/>
    </row>
    <row r="24" spans="1:24" ht="18.75" thickBot="1" x14ac:dyDescent="0.3">
      <c r="A24" s="529" t="s">
        <v>88</v>
      </c>
      <c r="B24" s="11" t="s">
        <v>83</v>
      </c>
      <c r="C24" s="527"/>
      <c r="P24" s="568" t="s">
        <v>536</v>
      </c>
      <c r="Q24" s="569"/>
      <c r="R24" s="570"/>
      <c r="S24" s="570"/>
      <c r="T24" s="570"/>
      <c r="U24" s="571"/>
      <c r="V24" s="571"/>
      <c r="W24" s="571"/>
      <c r="X24" s="572"/>
    </row>
    <row r="25" spans="1:24" ht="18" x14ac:dyDescent="0.25">
      <c r="A25" s="536" t="s">
        <v>47</v>
      </c>
      <c r="B25" s="17"/>
      <c r="C25" s="29"/>
      <c r="E25" s="9" t="s">
        <v>74</v>
      </c>
      <c r="F25" s="534"/>
      <c r="G25" s="535" t="s">
        <v>157</v>
      </c>
      <c r="P25" s="557"/>
      <c r="Q25" s="574"/>
      <c r="R25" s="559"/>
      <c r="S25" s="559"/>
      <c r="T25" s="559"/>
      <c r="U25" s="560"/>
      <c r="V25" s="580"/>
      <c r="W25" s="580"/>
      <c r="X25" s="581"/>
    </row>
    <row r="26" spans="1:24" ht="15.75" customHeight="1" thickBot="1" x14ac:dyDescent="0.3">
      <c r="A26" s="529" t="s">
        <v>283</v>
      </c>
      <c r="B26" s="11" t="s">
        <v>71</v>
      </c>
      <c r="C26" s="521"/>
      <c r="E26" s="529" t="s">
        <v>455</v>
      </c>
      <c r="F26" s="11" t="s">
        <v>3</v>
      </c>
      <c r="G26" s="540"/>
      <c r="P26" s="563"/>
      <c r="Q26" s="578"/>
      <c r="R26" s="565"/>
      <c r="S26" s="565"/>
      <c r="T26" s="565"/>
      <c r="U26" s="566"/>
      <c r="V26" s="583"/>
      <c r="W26" s="583"/>
      <c r="X26" s="584"/>
    </row>
    <row r="27" spans="1:24" ht="15.75" customHeight="1" x14ac:dyDescent="0.25">
      <c r="A27" s="529" t="s">
        <v>72</v>
      </c>
      <c r="B27" s="11" t="s">
        <v>73</v>
      </c>
      <c r="C27" s="526"/>
      <c r="E27" s="529" t="s">
        <v>456</v>
      </c>
      <c r="F27" s="11" t="s">
        <v>3</v>
      </c>
      <c r="G27" s="540"/>
      <c r="P27" s="587" t="s">
        <v>148</v>
      </c>
      <c r="Q27" s="574"/>
      <c r="R27" s="588"/>
      <c r="S27" s="588"/>
      <c r="T27" s="588"/>
      <c r="U27" s="580"/>
      <c r="V27" s="580"/>
      <c r="W27" s="580"/>
      <c r="X27" s="581"/>
    </row>
    <row r="28" spans="1:24" ht="16.5" thickBot="1" x14ac:dyDescent="0.3">
      <c r="A28" s="529" t="s">
        <v>284</v>
      </c>
      <c r="B28" s="11" t="s">
        <v>71</v>
      </c>
      <c r="C28" s="526"/>
      <c r="E28" s="529" t="s">
        <v>457</v>
      </c>
      <c r="F28" s="11" t="s">
        <v>3</v>
      </c>
      <c r="G28" s="540"/>
      <c r="P28" s="582"/>
      <c r="Q28" s="578"/>
      <c r="R28" s="565"/>
      <c r="S28" s="565"/>
      <c r="T28" s="565"/>
      <c r="U28" s="566"/>
      <c r="V28" s="583"/>
      <c r="W28" s="583"/>
      <c r="X28" s="584"/>
    </row>
    <row r="29" spans="1:24" ht="15.75" x14ac:dyDescent="0.25">
      <c r="A29" s="529" t="s">
        <v>285</v>
      </c>
      <c r="B29" s="11" t="s">
        <v>73</v>
      </c>
      <c r="C29" s="526"/>
      <c r="E29" s="529" t="s">
        <v>458</v>
      </c>
      <c r="F29" s="11" t="s">
        <v>3</v>
      </c>
      <c r="G29" s="540"/>
      <c r="P29" s="962" t="s">
        <v>252</v>
      </c>
      <c r="Q29" s="963"/>
      <c r="R29" s="963"/>
      <c r="S29" s="963"/>
      <c r="T29" s="963"/>
      <c r="U29" s="964"/>
    </row>
    <row r="30" spans="1:24" ht="15.75" x14ac:dyDescent="0.25">
      <c r="A30" s="536" t="s">
        <v>82</v>
      </c>
      <c r="B30" s="17"/>
      <c r="C30" s="29"/>
      <c r="E30" s="529" t="s">
        <v>75</v>
      </c>
      <c r="F30" s="11" t="s">
        <v>459</v>
      </c>
      <c r="G30" s="539"/>
      <c r="O30" s="17"/>
      <c r="P30" s="971" t="s">
        <v>250</v>
      </c>
      <c r="Q30" s="972"/>
      <c r="R30" s="972"/>
      <c r="S30" s="972"/>
      <c r="T30" s="972"/>
      <c r="U30" s="973"/>
    </row>
    <row r="31" spans="1:24" ht="15.75" x14ac:dyDescent="0.25">
      <c r="A31" s="529" t="s">
        <v>560</v>
      </c>
      <c r="B31" s="11" t="s">
        <v>84</v>
      </c>
      <c r="C31" s="527"/>
      <c r="E31" s="529" t="s">
        <v>76</v>
      </c>
      <c r="F31" s="11" t="s">
        <v>48</v>
      </c>
      <c r="G31" s="539"/>
      <c r="P31" s="971"/>
      <c r="Q31" s="974"/>
      <c r="R31" s="974"/>
      <c r="S31" s="974"/>
      <c r="T31" s="974"/>
      <c r="U31" s="975"/>
    </row>
    <row r="32" spans="1:24" ht="16.5" thickBot="1" x14ac:dyDescent="0.3">
      <c r="A32" s="529" t="s">
        <v>91</v>
      </c>
      <c r="B32" s="11" t="s">
        <v>84</v>
      </c>
      <c r="C32" s="527"/>
      <c r="E32" s="531" t="s">
        <v>402</v>
      </c>
      <c r="F32" s="532" t="s">
        <v>49</v>
      </c>
      <c r="G32" s="541"/>
      <c r="P32" s="971" t="s">
        <v>220</v>
      </c>
      <c r="Q32" s="972"/>
      <c r="R32" s="972"/>
      <c r="S32" s="972"/>
      <c r="T32" s="972"/>
      <c r="U32" s="973"/>
    </row>
    <row r="33" spans="1:21" ht="15.75" x14ac:dyDescent="0.25">
      <c r="A33" s="529" t="s">
        <v>385</v>
      </c>
      <c r="B33" s="11" t="s">
        <v>63</v>
      </c>
      <c r="C33" s="527"/>
      <c r="P33" s="971"/>
      <c r="Q33" s="974"/>
      <c r="R33" s="974"/>
      <c r="S33" s="974"/>
      <c r="T33" s="974"/>
      <c r="U33" s="975"/>
    </row>
    <row r="34" spans="1:21" ht="15.75" thickBot="1" x14ac:dyDescent="0.25">
      <c r="A34" s="531" t="s">
        <v>145</v>
      </c>
      <c r="B34" s="532" t="s">
        <v>83</v>
      </c>
      <c r="C34" s="533"/>
      <c r="P34" s="971" t="s">
        <v>251</v>
      </c>
      <c r="Q34" s="972"/>
      <c r="R34" s="972"/>
      <c r="S34" s="972"/>
      <c r="T34" s="972"/>
      <c r="U34" s="973"/>
    </row>
    <row r="35" spans="1:21" ht="15.75" thickBot="1" x14ac:dyDescent="0.25">
      <c r="P35" s="976"/>
      <c r="Q35" s="977"/>
      <c r="R35" s="977"/>
      <c r="S35" s="977"/>
      <c r="T35" s="977"/>
      <c r="U35" s="978"/>
    </row>
    <row r="36" spans="1:21" ht="16.5" thickBot="1" x14ac:dyDescent="0.3">
      <c r="E36" s="9" t="s">
        <v>70</v>
      </c>
      <c r="F36" s="542" t="s">
        <v>49</v>
      </c>
      <c r="G36" s="542" t="s">
        <v>50</v>
      </c>
      <c r="H36" s="535" t="s">
        <v>202</v>
      </c>
    </row>
    <row r="37" spans="1:21" ht="15.75" x14ac:dyDescent="0.25">
      <c r="A37" s="948" t="s">
        <v>247</v>
      </c>
      <c r="B37" s="949"/>
      <c r="E37" s="529"/>
      <c r="F37" s="8"/>
      <c r="G37" s="12"/>
      <c r="H37" s="543"/>
      <c r="P37" s="968" t="s">
        <v>253</v>
      </c>
      <c r="Q37" s="969"/>
      <c r="R37" s="969"/>
      <c r="S37" s="969"/>
      <c r="T37" s="969"/>
      <c r="U37" s="970"/>
    </row>
    <row r="38" spans="1:21" ht="15.75" x14ac:dyDescent="0.25">
      <c r="A38" s="19" t="s">
        <v>151</v>
      </c>
      <c r="B38" s="19"/>
      <c r="E38" s="529"/>
      <c r="F38" s="8"/>
      <c r="G38" s="12"/>
      <c r="H38" s="543"/>
      <c r="P38" s="28"/>
      <c r="Q38" s="17"/>
      <c r="R38" s="17"/>
      <c r="S38" s="17"/>
      <c r="T38" s="17"/>
      <c r="U38" s="29"/>
    </row>
    <row r="39" spans="1:21" ht="15.75" x14ac:dyDescent="0.25">
      <c r="A39" s="408" t="s">
        <v>272</v>
      </c>
      <c r="B39" s="547"/>
      <c r="E39" s="529"/>
      <c r="F39" s="8"/>
      <c r="G39" s="12"/>
      <c r="H39" s="543"/>
      <c r="P39" s="28"/>
      <c r="Q39" s="17"/>
      <c r="R39" s="17"/>
      <c r="S39" s="17"/>
      <c r="T39" s="17"/>
      <c r="U39" s="29"/>
    </row>
    <row r="40" spans="1:21" ht="15.75" x14ac:dyDescent="0.25">
      <c r="A40" s="548" t="s">
        <v>152</v>
      </c>
      <c r="B40" s="547"/>
      <c r="E40" s="529"/>
      <c r="F40" s="8"/>
      <c r="G40" s="12"/>
      <c r="H40" s="543"/>
      <c r="P40" s="28"/>
      <c r="Q40" s="17"/>
      <c r="R40" s="17"/>
      <c r="S40" s="17"/>
      <c r="T40" s="17"/>
      <c r="U40" s="29"/>
    </row>
    <row r="41" spans="1:21" ht="15.75" x14ac:dyDescent="0.25">
      <c r="A41" s="548" t="s">
        <v>153</v>
      </c>
      <c r="B41" s="547"/>
      <c r="E41" s="529"/>
      <c r="F41" s="8"/>
      <c r="G41" s="12"/>
      <c r="H41" s="543"/>
      <c r="P41" s="28"/>
      <c r="Q41" s="17"/>
      <c r="R41" s="17"/>
      <c r="S41" s="17"/>
      <c r="T41" s="17"/>
      <c r="U41" s="29"/>
    </row>
    <row r="42" spans="1:21" ht="15.75" x14ac:dyDescent="0.25">
      <c r="A42" s="408" t="s">
        <v>348</v>
      </c>
      <c r="B42" s="11"/>
      <c r="E42" s="529"/>
      <c r="F42" s="8"/>
      <c r="G42" s="12"/>
      <c r="H42" s="543"/>
      <c r="P42" s="28"/>
      <c r="Q42" s="17"/>
      <c r="R42" s="17"/>
      <c r="S42" s="17"/>
      <c r="T42" s="17"/>
      <c r="U42" s="29"/>
    </row>
    <row r="43" spans="1:21" ht="15.75" x14ac:dyDescent="0.25">
      <c r="A43" s="408" t="s">
        <v>561</v>
      </c>
      <c r="B43" s="11"/>
      <c r="E43" s="529"/>
      <c r="F43" s="8"/>
      <c r="G43" s="7"/>
      <c r="H43" s="543"/>
      <c r="P43" s="28"/>
      <c r="Q43" s="17"/>
      <c r="R43" s="17"/>
      <c r="S43" s="17"/>
      <c r="T43" s="17"/>
      <c r="U43" s="29"/>
    </row>
    <row r="44" spans="1:21" ht="15.75" x14ac:dyDescent="0.25">
      <c r="E44" s="529" t="s">
        <v>56</v>
      </c>
      <c r="F44" s="8"/>
      <c r="G44" s="544"/>
      <c r="H44" s="29"/>
      <c r="P44" s="28"/>
      <c r="Q44" s="17"/>
      <c r="R44" s="17"/>
      <c r="S44" s="17"/>
      <c r="T44" s="17"/>
      <c r="U44" s="29"/>
    </row>
    <row r="45" spans="1:21" ht="16.5" thickBot="1" x14ac:dyDescent="0.3">
      <c r="E45" s="531" t="s">
        <v>110</v>
      </c>
      <c r="F45" s="545"/>
      <c r="G45" s="546"/>
      <c r="H45" s="27"/>
      <c r="P45" s="30"/>
      <c r="Q45" s="26"/>
      <c r="R45" s="26"/>
      <c r="S45" s="26"/>
      <c r="T45" s="26"/>
      <c r="U45" s="27"/>
    </row>
  </sheetData>
  <sheetProtection password="C1BB" sheet="1" objects="1" scenarios="1"/>
  <mergeCells count="43">
    <mergeCell ref="P37:U37"/>
    <mergeCell ref="P30:P31"/>
    <mergeCell ref="Q30:U31"/>
    <mergeCell ref="P32:P33"/>
    <mergeCell ref="Q32:U33"/>
    <mergeCell ref="P34:P35"/>
    <mergeCell ref="Q34:U35"/>
    <mergeCell ref="J4:K4"/>
    <mergeCell ref="J5:K5"/>
    <mergeCell ref="J6:K6"/>
    <mergeCell ref="J15:K15"/>
    <mergeCell ref="J8:K8"/>
    <mergeCell ref="J9:K9"/>
    <mergeCell ref="J13:K13"/>
    <mergeCell ref="J14:K14"/>
    <mergeCell ref="J16:K16"/>
    <mergeCell ref="L10:M10"/>
    <mergeCell ref="L11:M11"/>
    <mergeCell ref="L12:M12"/>
    <mergeCell ref="L14:M14"/>
    <mergeCell ref="L15:M15"/>
    <mergeCell ref="L16:M16"/>
    <mergeCell ref="J10:K10"/>
    <mergeCell ref="J11:K11"/>
    <mergeCell ref="J12:K12"/>
    <mergeCell ref="L7:M7"/>
    <mergeCell ref="L6:M6"/>
    <mergeCell ref="P29:U29"/>
    <mergeCell ref="L13:M13"/>
    <mergeCell ref="L17:M17"/>
    <mergeCell ref="L18:M18"/>
    <mergeCell ref="L19:M19"/>
    <mergeCell ref="L20:M20"/>
    <mergeCell ref="A37:B37"/>
    <mergeCell ref="Q3:X3"/>
    <mergeCell ref="U4:X4"/>
    <mergeCell ref="J1:M1"/>
    <mergeCell ref="J17:K17"/>
    <mergeCell ref="J18:K18"/>
    <mergeCell ref="J19:K19"/>
    <mergeCell ref="J20:K20"/>
    <mergeCell ref="L4:M4"/>
    <mergeCell ref="L5:M5"/>
  </mergeCells>
  <phoneticPr fontId="87" type="noConversion"/>
  <dataValidations count="47">
    <dataValidation type="decimal" allowBlank="1" showInputMessage="1" showErrorMessage="1" error="deaths between 0 and 15 allowed" sqref="C21">
      <formula1>0</formula1>
      <formula2>15</formula2>
    </dataValidation>
    <dataValidation type="whole" allowBlank="1" showInputMessage="1" showErrorMessage="1" error="60 to 100% allowed" sqref="C22">
      <formula1>60</formula1>
      <formula2>100</formula2>
    </dataValidation>
    <dataValidation type="whole" allowBlank="1" showInputMessage="1" showErrorMessage="1" error="between 2 and 20% allowed" sqref="C23">
      <formula1>2</formula1>
      <formula2>20</formula2>
    </dataValidation>
    <dataValidation type="decimal" allowBlank="1" showInputMessage="1" showErrorMessage="1" error="between 0 and 3 kgs allowed" sqref="C26">
      <formula1>0</formula1>
      <formula2>3</formula2>
    </dataValidation>
    <dataValidation type="decimal" allowBlank="1" showInputMessage="1" showErrorMessage="1" error="between0 and $5.00 kg allowed" sqref="C27">
      <formula1>0</formula1>
      <formula2>5</formula2>
    </dataValidation>
    <dataValidation type="decimal" allowBlank="1" showInputMessage="1" showErrorMessage="1" error="between 0 and .5 kgs allowed" sqref="C28">
      <formula1>0</formula1>
      <formula2>0.5</formula2>
    </dataValidation>
    <dataValidation type="decimal" allowBlank="1" showInputMessage="1" showErrorMessage="1" error="between 0 and $3.00 kg allowed" sqref="C29">
      <formula1>0</formula1>
      <formula2>3</formula2>
    </dataValidation>
    <dataValidation type="whole" allowBlank="1" showInputMessage="1" showErrorMessage="1" error="between 30 to 150% of 1st draft price allowed" sqref="C31">
      <formula1>30</formula1>
      <formula2>150</formula2>
    </dataValidation>
    <dataValidation type="whole" allowBlank="1" showInputMessage="1" showErrorMessage="1" error="between 30 to 150% of draft 1 skin price allowed" sqref="C32">
      <formula1>30</formula1>
      <formula2>150</formula2>
    </dataValidation>
    <dataValidation type="decimal" allowBlank="1" showInputMessage="1" showErrorMessage="1" error="between 0 and 15% annual interest allowed" sqref="C33">
      <formula1>0</formula1>
      <formula2>15</formula2>
    </dataValidation>
    <dataValidation type="whole" showErrorMessage="1" error="enter number" sqref="C5">
      <formula1>1</formula1>
      <formula2>10000</formula2>
    </dataValidation>
    <dataValidation type="whole" allowBlank="1" showErrorMessage="1" error="out of range 15 to 50 allowed" sqref="C6">
      <formula1>15</formula1>
      <formula2>50</formula2>
    </dataValidation>
    <dataValidation type="decimal" allowBlank="1" showInputMessage="1" showErrorMessage="1" error="range $0.50 to $3.50 alllowed" sqref="C7">
      <formula1>0</formula1>
      <formula2>3.5</formula2>
    </dataValidation>
    <dataValidation type="decimal" allowBlank="1" showInputMessage="1" showErrorMessage="1" error="0 to 15.0 allowed " sqref="C8">
      <formula1>0</formula1>
      <formula2>15</formula2>
    </dataValidation>
    <dataValidation type="decimal" allowBlank="1" showInputMessage="1" showErrorMessage="1" error="30 kgs to 70 kgs allowed" sqref="C10">
      <formula1>30</formula1>
      <formula2>70</formula2>
    </dataValidation>
    <dataValidation type="decimal" allowBlank="1" showInputMessage="1" showErrorMessage="1" error="$1.50 to $6.00 kg Hot Carcass weight allowed" sqref="C11">
      <formula1>1.5</formula1>
      <formula2>6</formula2>
    </dataValidation>
    <dataValidation type="decimal" allowBlank="1" showInputMessage="1" showErrorMessage="1" error="Skin value  to $20.00 allowed" sqref="C12">
      <formula1>0</formula1>
      <formula2>20</formula2>
    </dataValidation>
    <dataValidation type="whole" allowBlank="1" showInputMessage="1" showErrorMessage="1" error="Dressing % 38 to 52 is allowed" sqref="C13">
      <formula1>38</formula1>
      <formula2>52</formula2>
    </dataValidation>
    <dataValidation type="decimal" allowBlank="1" showInputMessage="1" showErrorMessage="1" error="intake 2.0 to 5.0 of LWT/day allowed" sqref="C15">
      <formula1>2</formula1>
      <formula2>5</formula2>
    </dataValidation>
    <dataValidation type="decimal" allowBlank="1" showInputMessage="1" showErrorMessage="1" error="0 to 100 allowed " sqref="C9">
      <formula1>0</formula1>
      <formula2>100</formula2>
    </dataValidation>
    <dataValidation type="list" allowBlank="1" showInputMessage="1" showErrorMessage="1" sqref="C4">
      <formula1>$B$81:$B$84</formula1>
    </dataValidation>
    <dataValidation type="decimal" allowBlank="1" showInputMessage="1" showErrorMessage="1" error="Shearing cost $1 to $6 " sqref="G4">
      <formula1>1</formula1>
      <formula2>6</formula2>
    </dataValidation>
    <dataValidation type="decimal" allowBlank="1" showInputMessage="1" showErrorMessage="1" error="crutching cost $1 to $6" sqref="G5">
      <formula1>1</formula1>
      <formula2>6</formula2>
    </dataValidation>
    <dataValidation type="decimal" allowBlank="1" showInputMessage="1" showErrorMessage="1" error="Drench cost $0.10 to $1.00" sqref="G6">
      <formula1>0.1</formula1>
      <formula2>1</formula2>
    </dataValidation>
    <dataValidation type="decimal" allowBlank="1" showInputMessage="1" showErrorMessage="1" error="Fly cost $0.50 to $3.00" sqref="G7">
      <formula1>0.5</formula1>
      <formula2>3</formula2>
    </dataValidation>
    <dataValidation type="decimal" allowBlank="1" showInputMessage="1" showErrorMessage="1" error="lice cost $0.10 to $2.00" sqref="G10">
      <formula1>0.1</formula1>
      <formula2>2</formula2>
    </dataValidation>
    <dataValidation type="decimal" allowBlank="1" showInputMessage="1" showErrorMessage="1" error="commission from 1.0 to 10.0%" sqref="G15 G18">
      <formula1>1</formula1>
      <formula2>10</formula2>
    </dataValidation>
    <dataValidation type="decimal" allowBlank="1" showInputMessage="1" showErrorMessage="1" error="$0 to $20 wool transport cost/bale" sqref="G16:G17">
      <formula1>0</formula1>
      <formula2>20</formula2>
    </dataValidation>
    <dataValidation type="decimal" allowBlank="1" showInputMessage="1" showErrorMessage="1" error="commission from 0 to 10.0%" sqref="G14">
      <formula1>0</formula1>
      <formula2>10</formula2>
    </dataValidation>
    <dataValidation type="whole" allowBlank="1" showInputMessage="1" showErrorMessage="1" error="0 to 25% range" sqref="G26 G28:G29">
      <formula1>0</formula1>
      <formula2>25</formula2>
    </dataValidation>
    <dataValidation type="whole" allowBlank="1" showInputMessage="1" showErrorMessage="1" error="0 to 50 cents/lamb/day" sqref="G30">
      <formula1>0</formula1>
      <formula2>50</formula2>
    </dataValidation>
    <dataValidation type="whole" allowBlank="1" showInputMessage="1" showErrorMessage="1" error="0 to $50/tonne as fed" sqref="G31">
      <formula1>0</formula1>
      <formula2>50</formula2>
    </dataValidation>
    <dataValidation type="whole" allowBlank="1" showInputMessage="1" showErrorMessage="1" error="$0 to $100" sqref="G32">
      <formula1>0</formula1>
      <formula2>100</formula2>
    </dataValidation>
    <dataValidation type="whole" allowBlank="1" showInputMessage="1" showErrorMessage="1" error="0to 30% range" sqref="G37:G43">
      <formula1>0</formula1>
      <formula2>30</formula2>
    </dataValidation>
    <dataValidation type="whole" allowBlank="1" showInputMessage="1" showErrorMessage="1" error="0 to $200000 " sqref="F37:F43">
      <formula1>0</formula1>
      <formula2>200000</formula2>
    </dataValidation>
    <dataValidation type="whole" allowBlank="1" showInputMessage="1" showErrorMessage="1" error="0 to 30000 lambs/year" sqref="F44">
      <formula1>0</formula1>
      <formula2>30000</formula2>
    </dataValidation>
    <dataValidation type="whole" allowBlank="1" showInputMessage="1" showErrorMessage="1" error="0 to 50% range" sqref="G27">
      <formula1>0</formula1>
      <formula2>50</formula2>
    </dataValidation>
    <dataValidation type="whole" allowBlank="1" showInputMessage="1" showErrorMessage="1" error="0to 30% range" sqref="H37:H43">
      <formula1>0</formula1>
      <formula2>100</formula2>
    </dataValidation>
    <dataValidation type="decimal" allowBlank="1" showInputMessage="1" showErrorMessage="1" error="0 to 100 % allowed_x000a_" sqref="S6:T28 R6:R7 R9:R28">
      <formula1>0</formula1>
      <formula2>100</formula2>
    </dataValidation>
    <dataValidation type="decimal" allowBlank="1" showInputMessage="1" showErrorMessage="1" error="commission from 1.0 to 10.0%" sqref="G19:G22">
      <formula1>0</formula1>
      <formula2>10</formula2>
    </dataValidation>
    <dataValidation type="list" allowBlank="1" showInputMessage="1" showErrorMessage="1" sqref="Q20:Q23">
      <formula1>$S$6:$AC$6</formula1>
    </dataValidation>
    <dataValidation type="list" allowBlank="1" showInputMessage="1" showErrorMessage="1" sqref="Q14:Q19">
      <formula1>$S$5:$AC$5</formula1>
    </dataValidation>
    <dataValidation type="list" allowBlank="1" showInputMessage="1" showErrorMessage="1" sqref="Q11:Q13">
      <formula1>$S$3:$AC$3</formula1>
    </dataValidation>
    <dataValidation type="list" allowBlank="1" showInputMessage="1" showErrorMessage="1" sqref="Q6:Q10">
      <formula1>$S$2:$AC$2</formula1>
    </dataValidation>
    <dataValidation type="decimal" errorStyle="warning" allowBlank="1" showInputMessage="1" showErrorMessage="1" error="0 to 100 % allowed_x000a_" sqref="R8">
      <formula1>0</formula1>
      <formula2>100</formula2>
    </dataValidation>
    <dataValidation type="list" allowBlank="1" showInputMessage="1" showErrorMessage="1" sqref="Q27:Q28">
      <formula1>$Z$4:$AC$4</formula1>
    </dataValidation>
    <dataValidation type="list" allowBlank="1" showInputMessage="1" showErrorMessage="1" sqref="Q24:Q26">
      <formula1>$S$4:$Y$4</formula1>
    </dataValidation>
  </dataValidations>
  <pageMargins left="0.39370078740157477" right="0.39370078740157477" top="0.39370078740157477" bottom="0.39370078740157477" header="0.19685039370078738" footer="0.19685039370078738"/>
  <pageSetup paperSize="9" scale="70" orientation="landscape" blackAndWhite="1" r:id="rId1"/>
  <headerFooter alignWithMargins="0"/>
  <colBreaks count="1" manualBreakCount="1">
    <brk id="8" max="42" man="1"/>
  </colBreaks>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49"/>
  <sheetViews>
    <sheetView zoomScale="75" workbookViewId="0">
      <selection activeCell="B22" sqref="B22"/>
    </sheetView>
  </sheetViews>
  <sheetFormatPr defaultRowHeight="12.75" x14ac:dyDescent="0.2"/>
  <cols>
    <col min="1" max="1" width="31.85546875" style="614" customWidth="1"/>
    <col min="2" max="2" width="10.7109375" style="614" customWidth="1"/>
    <col min="3" max="3" width="11.5703125" style="614" customWidth="1"/>
    <col min="4" max="4" width="14.7109375" style="614" customWidth="1"/>
    <col min="5" max="5" width="3.5703125" style="614" customWidth="1"/>
    <col min="6" max="6" width="6.28515625" style="614" customWidth="1"/>
    <col min="7" max="7" width="4" style="614" customWidth="1"/>
    <col min="8" max="8" width="30.140625" style="614" customWidth="1"/>
    <col min="9" max="9" width="18.42578125" style="614" customWidth="1"/>
    <col min="10" max="10" width="11.28515625" style="614" customWidth="1"/>
    <col min="11" max="11" width="14" style="614" customWidth="1"/>
    <col min="12" max="12" width="6" style="614" customWidth="1"/>
    <col min="13" max="13" width="29.28515625" style="614" customWidth="1"/>
    <col min="14" max="14" width="10.85546875" style="614" customWidth="1"/>
    <col min="15" max="15" width="14.7109375" style="614" customWidth="1"/>
    <col min="16" max="16384" width="9.140625" style="614"/>
  </cols>
  <sheetData>
    <row r="1" spans="1:15" s="612" customFormat="1" ht="34.5" thickBot="1" x14ac:dyDescent="0.55000000000000004">
      <c r="A1" s="984" t="s">
        <v>571</v>
      </c>
      <c r="B1" s="985"/>
      <c r="C1" s="985"/>
      <c r="D1" s="985"/>
      <c r="E1" s="985"/>
      <c r="F1" s="985"/>
      <c r="G1" s="985"/>
      <c r="H1" s="985"/>
      <c r="I1" s="985"/>
      <c r="J1" s="985"/>
      <c r="K1" s="985"/>
      <c r="L1" s="985"/>
      <c r="M1" s="985"/>
      <c r="N1" s="985"/>
      <c r="O1" s="985"/>
    </row>
    <row r="2" spans="1:15" ht="18" x14ac:dyDescent="0.25">
      <c r="A2" s="986" t="s">
        <v>278</v>
      </c>
      <c r="B2" s="987"/>
      <c r="C2" s="988"/>
      <c r="D2" s="613"/>
      <c r="E2" s="613"/>
      <c r="F2" s="613"/>
      <c r="G2" s="613"/>
      <c r="H2" s="989" t="s">
        <v>79</v>
      </c>
      <c r="I2" s="990"/>
      <c r="J2" s="990"/>
      <c r="K2" s="991"/>
      <c r="L2" s="52"/>
      <c r="M2" s="657" t="s">
        <v>80</v>
      </c>
      <c r="N2" s="658"/>
      <c r="O2" s="659"/>
    </row>
    <row r="3" spans="1:15" ht="15.75" x14ac:dyDescent="0.25">
      <c r="A3" s="640" t="s">
        <v>431</v>
      </c>
      <c r="B3" s="992" t="str">
        <f>Summary!B3</f>
        <v>Merino</v>
      </c>
      <c r="C3" s="993"/>
      <c r="D3" s="615"/>
      <c r="E3" s="616"/>
      <c r="F3" s="54"/>
      <c r="G3" s="617"/>
      <c r="H3" s="618"/>
      <c r="I3" s="619"/>
      <c r="J3" s="634" t="s">
        <v>159</v>
      </c>
      <c r="K3" s="648" t="s">
        <v>271</v>
      </c>
      <c r="L3" s="52"/>
      <c r="M3" s="660" t="s">
        <v>94</v>
      </c>
      <c r="N3" s="500" t="s">
        <v>447</v>
      </c>
      <c r="O3" s="648">
        <f>+ProfitLoss!G21</f>
        <v>790609</v>
      </c>
    </row>
    <row r="4" spans="1:15" ht="15.75" x14ac:dyDescent="0.25">
      <c r="A4" s="641" t="s">
        <v>432</v>
      </c>
      <c r="B4" s="620"/>
      <c r="C4" s="642">
        <f>Summary!C4</f>
        <v>5000</v>
      </c>
      <c r="D4" s="54"/>
      <c r="E4" s="54"/>
      <c r="F4" s="54"/>
      <c r="G4" s="54"/>
      <c r="H4" s="649" t="s">
        <v>163</v>
      </c>
      <c r="I4" s="634" t="s">
        <v>182</v>
      </c>
      <c r="J4" s="635">
        <f>(C5+C9)*C16*0.01/2</f>
        <v>1.54</v>
      </c>
      <c r="K4" s="650">
        <f>J4*100/$J$19</f>
        <v>1.711111111111111</v>
      </c>
      <c r="L4" s="52"/>
      <c r="M4" s="661" t="s">
        <v>572</v>
      </c>
      <c r="N4" s="637" t="s">
        <v>573</v>
      </c>
      <c r="O4" s="648">
        <f>+ProfitLoss!G61</f>
        <v>780268.78659491183</v>
      </c>
    </row>
    <row r="5" spans="1:15" ht="15.75" x14ac:dyDescent="0.25">
      <c r="A5" s="343" t="s">
        <v>433</v>
      </c>
      <c r="B5" s="311" t="s">
        <v>434</v>
      </c>
      <c r="C5" s="642">
        <f>Summary!C5</f>
        <v>38</v>
      </c>
      <c r="D5" s="54"/>
      <c r="E5" s="54"/>
      <c r="F5" s="54"/>
      <c r="G5" s="617"/>
      <c r="H5" s="649" t="s">
        <v>4</v>
      </c>
      <c r="I5" s="634" t="s">
        <v>518</v>
      </c>
      <c r="J5" s="636">
        <f>IF($D$15&lt;0.01,"",J4*1000/$D$15)</f>
        <v>5.5</v>
      </c>
      <c r="K5" s="651">
        <f>IF($D$15&lt;0.01,"",K4*1000/$D$15)</f>
        <v>6.1111111111111107</v>
      </c>
      <c r="L5" s="52"/>
      <c r="M5" s="660" t="s">
        <v>32</v>
      </c>
      <c r="N5" s="500" t="s">
        <v>447</v>
      </c>
      <c r="O5" s="648">
        <f>+O3-O4</f>
        <v>10340.213405088172</v>
      </c>
    </row>
    <row r="6" spans="1:15" ht="16.5" thickBot="1" x14ac:dyDescent="0.3">
      <c r="A6" s="343" t="s">
        <v>352</v>
      </c>
      <c r="B6" s="311" t="s">
        <v>354</v>
      </c>
      <c r="C6" s="643">
        <f>Summary!C6</f>
        <v>0</v>
      </c>
      <c r="D6" s="54"/>
      <c r="E6" s="54"/>
      <c r="F6" s="54"/>
      <c r="G6" s="617"/>
      <c r="H6" s="649" t="s">
        <v>358</v>
      </c>
      <c r="I6" s="634" t="s">
        <v>306</v>
      </c>
      <c r="J6" s="634">
        <f>K6*0.01*J19</f>
        <v>69.300000000000011</v>
      </c>
      <c r="K6" s="648">
        <f>Rations!L77</f>
        <v>77.000000000000014</v>
      </c>
      <c r="L6" s="52"/>
      <c r="M6" s="662"/>
      <c r="N6" s="629"/>
      <c r="O6" s="663"/>
    </row>
    <row r="7" spans="1:15" ht="15.75" x14ac:dyDescent="0.25">
      <c r="A7" s="343" t="s">
        <v>353</v>
      </c>
      <c r="B7" s="311" t="s">
        <v>435</v>
      </c>
      <c r="C7" s="643">
        <f>Summary!C7</f>
        <v>0</v>
      </c>
      <c r="D7" s="644" t="s">
        <v>355</v>
      </c>
      <c r="E7" s="628"/>
      <c r="F7" s="628"/>
      <c r="G7" s="628"/>
      <c r="H7" s="649" t="s">
        <v>15</v>
      </c>
      <c r="I7" s="634" t="s">
        <v>77</v>
      </c>
      <c r="J7" s="1002">
        <f>+C9-C5</f>
        <v>12</v>
      </c>
      <c r="K7" s="1003"/>
      <c r="L7" s="52"/>
      <c r="M7" s="660" t="s">
        <v>449</v>
      </c>
      <c r="N7" s="500" t="s">
        <v>450</v>
      </c>
      <c r="O7" s="650">
        <f>+O3/C4</f>
        <v>158.12180000000001</v>
      </c>
    </row>
    <row r="8" spans="1:15" ht="16.5" thickBot="1" x14ac:dyDescent="0.3">
      <c r="A8" s="316" t="s">
        <v>558</v>
      </c>
      <c r="B8" s="311" t="s">
        <v>58</v>
      </c>
      <c r="C8" s="643">
        <f>IF(Summary!C8&lt;0.01,"",Summary!C8)</f>
        <v>113</v>
      </c>
      <c r="D8" s="645">
        <f>Summary!D8</f>
        <v>113</v>
      </c>
      <c r="E8" s="617"/>
      <c r="F8" s="617"/>
      <c r="G8" s="617"/>
      <c r="H8" s="652" t="s">
        <v>78</v>
      </c>
      <c r="I8" s="653" t="s">
        <v>1</v>
      </c>
      <c r="J8" s="1004" t="str">
        <f>IF(C15&gt;1,C15,J7*1000/C14)</f>
        <v/>
      </c>
      <c r="K8" s="1005"/>
      <c r="L8" s="52"/>
      <c r="M8" s="660" t="s">
        <v>451</v>
      </c>
      <c r="N8" s="500" t="s">
        <v>450</v>
      </c>
      <c r="O8" s="650">
        <f>+O4/C4</f>
        <v>156.05375731898238</v>
      </c>
    </row>
    <row r="9" spans="1:15" ht="16.5" thickBot="1" x14ac:dyDescent="0.3">
      <c r="A9" s="343" t="s">
        <v>437</v>
      </c>
      <c r="B9" s="311" t="s">
        <v>438</v>
      </c>
      <c r="C9" s="642">
        <f>Summary!C9</f>
        <v>50</v>
      </c>
      <c r="D9" s="54"/>
      <c r="E9" s="54"/>
      <c r="F9" s="54"/>
      <c r="G9" s="54"/>
      <c r="H9" s="52"/>
      <c r="I9" s="52"/>
      <c r="J9" s="52"/>
      <c r="K9" s="52"/>
      <c r="L9" s="52"/>
      <c r="M9" s="664" t="s">
        <v>362</v>
      </c>
      <c r="N9" s="665"/>
      <c r="O9" s="656">
        <f>IF(D16&lt;&gt;"","ERROR 1",IF(J8&lt;1,"ERROR 2",IF(O5/C4&lt;-100,"ERROR 3",IF(O5/C4&gt;100,"ERROR 4",O5/C4))))</f>
        <v>2.0680426810176344</v>
      </c>
    </row>
    <row r="10" spans="1:15" ht="16.5" thickBot="1" x14ac:dyDescent="0.3">
      <c r="A10" s="317" t="s">
        <v>274</v>
      </c>
      <c r="B10" s="311" t="s">
        <v>439</v>
      </c>
      <c r="C10" s="642">
        <f>Summary!C10</f>
        <v>5.89</v>
      </c>
      <c r="D10" s="54"/>
      <c r="E10" s="54"/>
      <c r="F10" s="54"/>
      <c r="G10" s="54"/>
      <c r="H10" s="52"/>
      <c r="I10" s="52"/>
      <c r="J10" s="52"/>
      <c r="K10" s="54"/>
      <c r="L10" s="52"/>
      <c r="M10" s="54"/>
      <c r="N10" s="54"/>
      <c r="O10" s="615"/>
    </row>
    <row r="11" spans="1:15" ht="15.75" x14ac:dyDescent="0.25">
      <c r="A11" s="317" t="s">
        <v>46</v>
      </c>
      <c r="B11" s="311" t="s">
        <v>435</v>
      </c>
      <c r="C11" s="643">
        <f>Summary!C11</f>
        <v>7</v>
      </c>
      <c r="D11" s="646" t="s">
        <v>356</v>
      </c>
      <c r="E11" s="617"/>
      <c r="F11" s="617"/>
      <c r="G11" s="54"/>
      <c r="H11" s="621" t="s">
        <v>298</v>
      </c>
      <c r="I11" s="622"/>
      <c r="J11" s="623">
        <f>Summary!D80</f>
        <v>234.38250000000005</v>
      </c>
      <c r="K11" s="624"/>
      <c r="L11" s="52"/>
      <c r="M11" s="994" t="s">
        <v>299</v>
      </c>
      <c r="N11" s="994"/>
      <c r="O11" s="634">
        <f>(O24+O9)*100/O24-100</f>
        <v>9.1664495413218958</v>
      </c>
    </row>
    <row r="12" spans="1:15" ht="16.5" thickBot="1" x14ac:dyDescent="0.3">
      <c r="A12" s="343" t="s">
        <v>275</v>
      </c>
      <c r="B12" s="311" t="s">
        <v>83</v>
      </c>
      <c r="C12" s="642">
        <f>Summary!C12</f>
        <v>47</v>
      </c>
      <c r="D12" s="647"/>
      <c r="E12" s="617"/>
      <c r="F12" s="617"/>
      <c r="G12" s="54"/>
      <c r="H12" s="995" t="s">
        <v>351</v>
      </c>
      <c r="I12" s="996"/>
      <c r="J12" s="997"/>
      <c r="K12" s="52"/>
      <c r="L12" s="52"/>
      <c r="M12" s="54"/>
      <c r="N12" s="95"/>
      <c r="O12" s="615"/>
    </row>
    <row r="13" spans="1:15" ht="18.75" thickBot="1" x14ac:dyDescent="0.3">
      <c r="A13" s="316" t="s">
        <v>522</v>
      </c>
      <c r="B13" s="311" t="s">
        <v>58</v>
      </c>
      <c r="C13" s="643">
        <f>IF(Summary!C13&lt;0.01,"",Summary!C13)</f>
        <v>135.47</v>
      </c>
      <c r="D13" s="645">
        <f>Summary!D13</f>
        <v>135.47</v>
      </c>
      <c r="E13" s="54"/>
      <c r="F13" s="54"/>
      <c r="G13" s="54"/>
      <c r="H13" s="52"/>
      <c r="I13" s="52"/>
      <c r="J13" s="52"/>
      <c r="K13" s="52"/>
      <c r="L13" s="52"/>
      <c r="M13" s="657" t="s">
        <v>279</v>
      </c>
      <c r="N13" s="658"/>
      <c r="O13" s="659"/>
    </row>
    <row r="14" spans="1:15" ht="18" x14ac:dyDescent="0.25">
      <c r="A14" s="343" t="s">
        <v>268</v>
      </c>
      <c r="B14" s="311" t="s">
        <v>59</v>
      </c>
      <c r="C14" s="642">
        <f>Summary!C14</f>
        <v>280</v>
      </c>
      <c r="D14" s="639" t="s">
        <v>375</v>
      </c>
      <c r="E14" s="630"/>
      <c r="F14" s="631"/>
      <c r="G14" s="54"/>
      <c r="H14" s="998" t="s">
        <v>81</v>
      </c>
      <c r="I14" s="999"/>
      <c r="J14" s="1000"/>
      <c r="K14" s="54"/>
      <c r="L14" s="52"/>
      <c r="M14" s="649" t="s">
        <v>452</v>
      </c>
      <c r="N14" s="634" t="s">
        <v>379</v>
      </c>
      <c r="O14" s="651">
        <f>ProfitLoss!V9</f>
        <v>23.176767676767678</v>
      </c>
    </row>
    <row r="15" spans="1:15" ht="16.5" thickBot="1" x14ac:dyDescent="0.3">
      <c r="A15" s="316" t="s">
        <v>523</v>
      </c>
      <c r="B15" s="311" t="s">
        <v>441</v>
      </c>
      <c r="C15" s="643" t="str">
        <f>IF(Summary!C15&lt;0.01,"",Summary!C15)</f>
        <v/>
      </c>
      <c r="D15" s="844">
        <f>Summary!D15</f>
        <v>280</v>
      </c>
      <c r="E15" s="632" t="s">
        <v>374</v>
      </c>
      <c r="F15" s="633"/>
      <c r="G15" s="625"/>
      <c r="H15" s="649" t="s">
        <v>143</v>
      </c>
      <c r="I15" s="634" t="s">
        <v>443</v>
      </c>
      <c r="J15" s="648">
        <f>Rations!E32</f>
        <v>280</v>
      </c>
      <c r="K15" s="54"/>
      <c r="L15" s="52"/>
      <c r="M15" s="649" t="s">
        <v>380</v>
      </c>
      <c r="N15" s="634" t="s">
        <v>102</v>
      </c>
      <c r="O15" s="648">
        <f>ProfitLoss!U9</f>
        <v>114725</v>
      </c>
    </row>
    <row r="16" spans="1:15" ht="16.5" thickBot="1" x14ac:dyDescent="0.3">
      <c r="A16" s="319" t="s">
        <v>387</v>
      </c>
      <c r="B16" s="320" t="s">
        <v>442</v>
      </c>
      <c r="C16" s="642">
        <f>Summary!C16</f>
        <v>3.5</v>
      </c>
      <c r="D16" s="327" t="str">
        <f>IF(C15="","",IF(D15&lt;-150,"Growth too Low",IF(D15&gt;500,"Growth Rate too high","")))</f>
        <v/>
      </c>
      <c r="E16" s="327"/>
      <c r="F16" s="327"/>
      <c r="G16" s="54"/>
      <c r="H16" s="649" t="s">
        <v>143</v>
      </c>
      <c r="I16" s="634" t="s">
        <v>144</v>
      </c>
      <c r="J16" s="648">
        <f>Rations!E33</f>
        <v>311.11111111111109</v>
      </c>
      <c r="K16" s="624"/>
      <c r="L16" s="52"/>
      <c r="M16" s="666" t="s">
        <v>381</v>
      </c>
      <c r="N16" s="667"/>
      <c r="O16" s="656">
        <f>ProfitLoss!W9</f>
        <v>5.8453606450207021</v>
      </c>
    </row>
    <row r="17" spans="1:15" ht="15.75" x14ac:dyDescent="0.25">
      <c r="A17" s="52"/>
      <c r="B17" s="52"/>
      <c r="C17" s="52"/>
      <c r="D17" s="52"/>
      <c r="E17" s="52"/>
      <c r="F17" s="54"/>
      <c r="G17" s="54"/>
      <c r="H17" s="649" t="s">
        <v>444</v>
      </c>
      <c r="I17" s="634" t="s">
        <v>445</v>
      </c>
      <c r="J17" s="651">
        <f>Rations!O31</f>
        <v>13</v>
      </c>
      <c r="K17" s="615"/>
      <c r="L17" s="52"/>
      <c r="M17" s="625" t="s">
        <v>382</v>
      </c>
      <c r="N17" s="54"/>
      <c r="O17" s="54"/>
    </row>
    <row r="18" spans="1:15" ht="16.5" thickBot="1" x14ac:dyDescent="0.3">
      <c r="A18" s="626" t="str">
        <f>Inputs!G33</f>
        <v>Reference</v>
      </c>
      <c r="B18" s="981"/>
      <c r="C18" s="981"/>
      <c r="D18" s="52"/>
      <c r="E18" s="52"/>
      <c r="F18" s="52"/>
      <c r="G18" s="52"/>
      <c r="H18" s="649" t="s">
        <v>142</v>
      </c>
      <c r="I18" s="634" t="s">
        <v>162</v>
      </c>
      <c r="J18" s="651">
        <f>Rations!O33</f>
        <v>16.5</v>
      </c>
      <c r="K18" s="615"/>
      <c r="L18" s="52"/>
      <c r="M18" s="52"/>
      <c r="N18" s="615"/>
      <c r="O18" s="615"/>
    </row>
    <row r="19" spans="1:15" ht="18" x14ac:dyDescent="0.25">
      <c r="A19" s="627" t="str">
        <f>Inputs!G34</f>
        <v>Name</v>
      </c>
      <c r="B19" s="982" t="str">
        <f>IF(Inputs!H34="","",Inputs!H34)</f>
        <v/>
      </c>
      <c r="C19" s="982"/>
      <c r="D19" s="52"/>
      <c r="E19" s="52"/>
      <c r="F19" s="52"/>
      <c r="G19" s="52"/>
      <c r="H19" s="649" t="s">
        <v>357</v>
      </c>
      <c r="I19" s="634" t="s">
        <v>162</v>
      </c>
      <c r="J19" s="648">
        <f>Rations!E34</f>
        <v>90</v>
      </c>
      <c r="K19" s="615"/>
      <c r="L19" s="52"/>
      <c r="M19" s="998" t="s">
        <v>363</v>
      </c>
      <c r="N19" s="999"/>
      <c r="O19" s="1000"/>
    </row>
    <row r="20" spans="1:15" ht="16.5" thickBot="1" x14ac:dyDescent="0.3">
      <c r="A20" s="627" t="str">
        <f>Inputs!G35</f>
        <v>Ration</v>
      </c>
      <c r="B20" s="982" t="str">
        <f>IF(Inputs!H35="","",Inputs!H35)</f>
        <v/>
      </c>
      <c r="C20" s="982"/>
      <c r="D20" s="52"/>
      <c r="E20" s="52"/>
      <c r="F20" s="52"/>
      <c r="G20" s="52"/>
      <c r="H20" s="654" t="s">
        <v>453</v>
      </c>
      <c r="I20" s="655">
        <f>Calculations!BH31</f>
        <v>3</v>
      </c>
      <c r="J20" s="656" t="s">
        <v>446</v>
      </c>
      <c r="K20" s="615"/>
      <c r="L20" s="52"/>
      <c r="M20" s="668" t="s">
        <v>122</v>
      </c>
      <c r="N20" s="638"/>
      <c r="O20" s="650">
        <f>ProfitLoss!AA6</f>
        <v>113</v>
      </c>
    </row>
    <row r="21" spans="1:15" ht="15.75" x14ac:dyDescent="0.25">
      <c r="A21" s="627" t="str">
        <f>Inputs!G36</f>
        <v>Date</v>
      </c>
      <c r="B21" s="983" t="str">
        <f>IF(Inputs!H36="","",Inputs!H36)</f>
        <v/>
      </c>
      <c r="C21" s="983"/>
      <c r="D21" s="52"/>
      <c r="E21" s="52"/>
      <c r="F21" s="54"/>
      <c r="G21" s="54"/>
      <c r="H21" s="54"/>
      <c r="I21" s="54"/>
      <c r="J21" s="615"/>
      <c r="K21" s="52"/>
      <c r="L21" s="52"/>
      <c r="M21" s="649" t="s">
        <v>123</v>
      </c>
      <c r="N21" s="629"/>
      <c r="O21" s="650">
        <f>ProfitLoss!AA7</f>
        <v>12.967900176125244</v>
      </c>
    </row>
    <row r="22" spans="1:15" ht="16.5" thickBot="1" x14ac:dyDescent="0.3">
      <c r="A22" s="979" t="str">
        <f>Inputs!G37</f>
        <v>Comment</v>
      </c>
      <c r="B22" s="845" t="str">
        <f>IF(Inputs!G38="","",Inputs!G38)</f>
        <v/>
      </c>
      <c r="C22" s="847"/>
      <c r="D22" s="848"/>
      <c r="E22" s="849"/>
      <c r="F22" s="54"/>
      <c r="G22" s="54"/>
      <c r="H22" s="54"/>
      <c r="I22" s="54"/>
      <c r="J22" s="54"/>
      <c r="K22" s="54"/>
      <c r="L22" s="52"/>
      <c r="M22" s="649" t="s">
        <v>124</v>
      </c>
      <c r="N22" s="629"/>
      <c r="O22" s="650">
        <f>ProfitLoss!AA8</f>
        <v>5.3819999999999997</v>
      </c>
    </row>
    <row r="23" spans="1:15" ht="19.5" thickBot="1" x14ac:dyDescent="0.35">
      <c r="A23" s="980"/>
      <c r="B23" s="846"/>
      <c r="C23" s="850"/>
      <c r="D23" s="619"/>
      <c r="E23" s="851"/>
      <c r="F23" s="54"/>
      <c r="G23" s="610" t="s">
        <v>276</v>
      </c>
      <c r="H23" s="611" t="s">
        <v>277</v>
      </c>
      <c r="I23" s="109"/>
      <c r="J23" s="139"/>
      <c r="K23" s="52"/>
      <c r="L23" s="52"/>
      <c r="M23" s="649" t="s">
        <v>125</v>
      </c>
      <c r="N23" s="629"/>
      <c r="O23" s="650">
        <f>ProfitLoss!AA9</f>
        <v>2.1428571428571428</v>
      </c>
    </row>
    <row r="24" spans="1:15" ht="15.75" x14ac:dyDescent="0.25">
      <c r="A24" s="52"/>
      <c r="B24" s="52"/>
      <c r="C24" s="52"/>
      <c r="D24" s="52"/>
      <c r="E24" s="52"/>
      <c r="F24" s="52"/>
      <c r="G24" s="54"/>
      <c r="H24" s="52"/>
      <c r="I24" s="52"/>
      <c r="J24" s="52"/>
      <c r="K24" s="52"/>
      <c r="L24" s="52"/>
      <c r="M24" s="649" t="s">
        <v>126</v>
      </c>
      <c r="N24" s="629"/>
      <c r="O24" s="650">
        <f>ProfitLoss!AA10</f>
        <v>22.561000000000003</v>
      </c>
    </row>
    <row r="25" spans="1:15" ht="15.75" x14ac:dyDescent="0.25">
      <c r="A25" s="52"/>
      <c r="B25" s="52"/>
      <c r="C25" s="54"/>
      <c r="D25" s="54"/>
      <c r="E25" s="54"/>
      <c r="F25" s="54"/>
      <c r="G25" s="54"/>
      <c r="H25" s="52"/>
      <c r="I25" s="52"/>
      <c r="J25" s="52"/>
      <c r="K25" s="52"/>
      <c r="L25" s="52"/>
      <c r="M25" s="649" t="s">
        <v>127</v>
      </c>
      <c r="N25" s="629"/>
      <c r="O25" s="650">
        <f>ProfitLoss!AA11</f>
        <v>0</v>
      </c>
    </row>
    <row r="26" spans="1:15" ht="16.5" thickBot="1" x14ac:dyDescent="0.3">
      <c r="A26" s="52"/>
      <c r="B26" s="52"/>
      <c r="C26" s="54"/>
      <c r="D26" s="54"/>
      <c r="E26" s="54"/>
      <c r="F26" s="54"/>
      <c r="G26" s="54"/>
      <c r="H26" s="52"/>
      <c r="I26" s="52"/>
      <c r="J26" s="52"/>
      <c r="K26" s="52"/>
      <c r="L26" s="52"/>
      <c r="M26" s="652" t="s">
        <v>92</v>
      </c>
      <c r="N26" s="665"/>
      <c r="O26" s="656">
        <f>ProfitLoss!AA12</f>
        <v>156.05375731898238</v>
      </c>
    </row>
    <row r="27" spans="1:15" ht="20.25" x14ac:dyDescent="0.3">
      <c r="A27" s="52"/>
      <c r="B27" s="52"/>
      <c r="C27" s="54"/>
      <c r="D27" s="54"/>
      <c r="E27" s="54"/>
      <c r="F27" s="54"/>
      <c r="G27" s="54"/>
      <c r="H27" s="1001" t="s">
        <v>198</v>
      </c>
      <c r="I27" s="1001"/>
      <c r="J27" s="1001"/>
      <c r="K27" s="1001"/>
      <c r="L27" s="52"/>
      <c r="M27" s="54"/>
      <c r="N27" s="54"/>
      <c r="O27" s="615"/>
    </row>
    <row r="28" spans="1:15" ht="15" x14ac:dyDescent="0.25">
      <c r="A28" s="52"/>
      <c r="B28" s="52"/>
      <c r="C28" s="52"/>
      <c r="D28" s="52"/>
      <c r="E28" s="54"/>
      <c r="F28" s="54"/>
      <c r="G28" s="54"/>
      <c r="H28" s="54"/>
      <c r="I28" s="54"/>
      <c r="J28" s="54"/>
      <c r="K28" s="54"/>
      <c r="L28" s="52"/>
      <c r="M28" s="52"/>
      <c r="N28" s="52"/>
      <c r="O28" s="52"/>
    </row>
    <row r="29" spans="1:15" ht="15" x14ac:dyDescent="0.25">
      <c r="A29" s="52"/>
      <c r="B29" s="52"/>
      <c r="C29" s="52"/>
      <c r="D29" s="54"/>
      <c r="E29" s="54"/>
      <c r="F29" s="54"/>
      <c r="G29" s="54"/>
      <c r="H29" s="54"/>
      <c r="I29" s="54"/>
      <c r="J29" s="54"/>
      <c r="K29" s="54"/>
      <c r="L29" s="54"/>
      <c r="M29" s="52"/>
      <c r="N29" s="52"/>
      <c r="O29" s="52"/>
    </row>
    <row r="30" spans="1:15" ht="15" x14ac:dyDescent="0.25">
      <c r="A30" s="52"/>
      <c r="B30" s="52"/>
      <c r="C30" s="52"/>
      <c r="D30" s="54"/>
      <c r="E30" s="54"/>
      <c r="F30" s="54"/>
      <c r="G30" s="54"/>
      <c r="H30" s="54"/>
      <c r="I30" s="54"/>
      <c r="J30" s="54"/>
      <c r="K30" s="54"/>
      <c r="L30" s="54"/>
      <c r="M30" s="52"/>
      <c r="N30" s="52"/>
      <c r="O30" s="52"/>
    </row>
    <row r="31" spans="1:15" ht="15" x14ac:dyDescent="0.25">
      <c r="A31" s="52"/>
      <c r="B31" s="52"/>
      <c r="C31" s="52"/>
      <c r="D31" s="54"/>
      <c r="E31" s="54"/>
      <c r="F31" s="54"/>
      <c r="G31" s="54"/>
      <c r="H31" s="54"/>
      <c r="I31" s="54"/>
      <c r="J31" s="54"/>
      <c r="K31" s="54"/>
      <c r="L31" s="54"/>
      <c r="M31" s="52"/>
      <c r="N31" s="52"/>
      <c r="O31" s="52"/>
    </row>
    <row r="32" spans="1:15" ht="15" x14ac:dyDescent="0.25">
      <c r="A32" s="52"/>
      <c r="B32" s="52"/>
      <c r="C32" s="52"/>
      <c r="D32" s="54"/>
      <c r="E32" s="54"/>
      <c r="F32" s="54"/>
      <c r="G32" s="54"/>
      <c r="H32" s="54"/>
      <c r="I32" s="54"/>
      <c r="J32" s="54"/>
      <c r="K32" s="54"/>
      <c r="L32" s="54"/>
      <c r="M32" s="52"/>
      <c r="N32" s="52"/>
      <c r="O32" s="52"/>
    </row>
    <row r="33" spans="1:15" ht="15" x14ac:dyDescent="0.25">
      <c r="A33" s="52"/>
      <c r="B33" s="52"/>
      <c r="C33" s="52"/>
      <c r="D33" s="54"/>
      <c r="E33" s="54"/>
      <c r="F33" s="54"/>
      <c r="G33" s="54"/>
      <c r="H33" s="54"/>
      <c r="I33" s="54"/>
      <c r="J33" s="54"/>
      <c r="K33" s="54"/>
      <c r="L33" s="54"/>
      <c r="M33" s="52"/>
      <c r="N33" s="52"/>
      <c r="O33" s="52"/>
    </row>
    <row r="34" spans="1:15" ht="14.25" x14ac:dyDescent="0.2">
      <c r="A34" s="1"/>
      <c r="B34" s="1"/>
      <c r="C34" s="1"/>
      <c r="D34" s="1"/>
      <c r="E34" s="1"/>
      <c r="F34" s="1"/>
      <c r="G34" s="1"/>
      <c r="H34" s="1"/>
      <c r="I34" s="1"/>
      <c r="J34" s="1"/>
      <c r="K34" s="1"/>
      <c r="L34" s="1"/>
    </row>
    <row r="35" spans="1:15" ht="14.25" x14ac:dyDescent="0.2">
      <c r="A35" s="1"/>
      <c r="B35" s="1"/>
      <c r="C35" s="1"/>
      <c r="D35" s="1"/>
      <c r="E35" s="1"/>
      <c r="F35" s="1"/>
      <c r="G35" s="1"/>
      <c r="H35" s="1"/>
      <c r="I35" s="1"/>
      <c r="J35" s="1"/>
      <c r="K35" s="1"/>
      <c r="L35" s="1"/>
    </row>
    <row r="36" spans="1:15" ht="14.25" x14ac:dyDescent="0.2">
      <c r="A36" s="1"/>
      <c r="B36" s="1"/>
      <c r="C36" s="1"/>
      <c r="D36" s="1"/>
      <c r="E36" s="1"/>
      <c r="F36" s="1"/>
      <c r="G36" s="1"/>
      <c r="H36" s="1"/>
      <c r="I36" s="1"/>
      <c r="J36" s="1"/>
      <c r="K36" s="1"/>
      <c r="L36" s="1"/>
    </row>
    <row r="37" spans="1:15" ht="14.25" x14ac:dyDescent="0.2">
      <c r="A37" s="1"/>
      <c r="B37" s="1"/>
      <c r="C37" s="1"/>
      <c r="D37" s="1"/>
      <c r="E37" s="1"/>
      <c r="F37" s="1"/>
      <c r="G37" s="1"/>
      <c r="H37" s="1"/>
      <c r="I37" s="1"/>
      <c r="J37" s="1"/>
      <c r="K37" s="1"/>
      <c r="L37" s="1"/>
    </row>
    <row r="38" spans="1:15" ht="14.25" x14ac:dyDescent="0.2">
      <c r="A38" s="2"/>
      <c r="B38" s="2"/>
      <c r="C38" s="2"/>
      <c r="D38" s="2"/>
      <c r="E38" s="2"/>
      <c r="F38" s="2"/>
      <c r="G38" s="2"/>
      <c r="H38" s="2"/>
      <c r="I38" s="2"/>
      <c r="J38" s="2"/>
      <c r="K38" s="2"/>
      <c r="L38" s="2"/>
    </row>
    <row r="39" spans="1:15" ht="14.25" x14ac:dyDescent="0.2">
      <c r="A39" s="2"/>
      <c r="B39" s="2"/>
      <c r="C39" s="2"/>
      <c r="D39" s="2"/>
      <c r="E39" s="2"/>
      <c r="F39" s="2"/>
      <c r="G39" s="2"/>
      <c r="H39" s="2"/>
      <c r="I39" s="2"/>
      <c r="J39" s="2"/>
      <c r="K39" s="2"/>
      <c r="L39" s="2"/>
    </row>
    <row r="40" spans="1:15" ht="14.25" x14ac:dyDescent="0.2">
      <c r="A40" s="2"/>
      <c r="B40" s="2"/>
      <c r="C40" s="2"/>
      <c r="D40" s="2"/>
      <c r="E40" s="2"/>
      <c r="F40" s="2"/>
      <c r="G40" s="2"/>
      <c r="H40" s="2"/>
      <c r="I40" s="2"/>
      <c r="J40" s="2"/>
      <c r="K40" s="2"/>
      <c r="L40" s="2"/>
    </row>
    <row r="41" spans="1:15" ht="14.25" x14ac:dyDescent="0.2">
      <c r="A41" s="2"/>
      <c r="B41" s="2"/>
      <c r="C41" s="2"/>
      <c r="D41" s="2"/>
      <c r="E41" s="2"/>
      <c r="F41" s="2"/>
      <c r="G41" s="2"/>
      <c r="H41" s="2"/>
      <c r="I41" s="2"/>
      <c r="J41" s="2"/>
      <c r="K41" s="2"/>
      <c r="L41" s="2"/>
    </row>
    <row r="42" spans="1:15" ht="14.25" x14ac:dyDescent="0.2">
      <c r="A42" s="2"/>
      <c r="B42" s="2"/>
      <c r="C42" s="2"/>
      <c r="D42" s="2"/>
      <c r="E42" s="2"/>
      <c r="F42" s="2"/>
      <c r="G42" s="2"/>
      <c r="H42" s="2"/>
      <c r="I42" s="2"/>
      <c r="J42" s="2"/>
      <c r="K42" s="2"/>
      <c r="L42" s="2"/>
    </row>
    <row r="43" spans="1:15" ht="14.25" x14ac:dyDescent="0.2">
      <c r="D43" s="2"/>
      <c r="E43" s="2"/>
      <c r="F43" s="2"/>
      <c r="G43" s="2"/>
      <c r="H43" s="2"/>
      <c r="I43" s="2"/>
      <c r="J43" s="2"/>
      <c r="K43" s="2"/>
      <c r="L43" s="2"/>
    </row>
    <row r="44" spans="1:15" ht="14.25" x14ac:dyDescent="0.2">
      <c r="D44" s="2"/>
      <c r="E44" s="2"/>
      <c r="F44" s="2"/>
      <c r="G44" s="2"/>
      <c r="H44" s="2"/>
      <c r="I44" s="2"/>
      <c r="J44" s="2"/>
      <c r="K44" s="2"/>
      <c r="L44" s="2"/>
    </row>
    <row r="45" spans="1:15" ht="14.25" x14ac:dyDescent="0.2">
      <c r="D45" s="2"/>
      <c r="E45" s="2"/>
      <c r="F45" s="2"/>
      <c r="G45" s="2"/>
      <c r="H45" s="2"/>
      <c r="I45" s="2"/>
      <c r="J45" s="2"/>
      <c r="K45" s="2"/>
      <c r="L45" s="2"/>
    </row>
    <row r="46" spans="1:15" ht="14.25" x14ac:dyDescent="0.2">
      <c r="D46" s="2"/>
      <c r="E46" s="2"/>
      <c r="F46" s="2"/>
      <c r="G46" s="2"/>
      <c r="H46" s="2"/>
      <c r="I46" s="2"/>
      <c r="J46" s="2"/>
      <c r="K46" s="2"/>
      <c r="L46" s="2"/>
    </row>
    <row r="47" spans="1:15" ht="14.25" x14ac:dyDescent="0.2">
      <c r="D47" s="2"/>
      <c r="E47" s="2"/>
      <c r="F47" s="2"/>
      <c r="G47" s="2"/>
      <c r="H47" s="2"/>
      <c r="I47" s="2"/>
      <c r="J47" s="2"/>
      <c r="K47" s="2"/>
      <c r="L47" s="2"/>
    </row>
    <row r="48" spans="1:15" ht="14.25" x14ac:dyDescent="0.2">
      <c r="D48" s="2"/>
      <c r="E48" s="2"/>
      <c r="F48" s="2"/>
      <c r="G48" s="2"/>
      <c r="H48" s="2"/>
      <c r="I48" s="2"/>
      <c r="J48" s="2"/>
      <c r="K48" s="2"/>
      <c r="L48" s="2"/>
    </row>
    <row r="49" spans="1:12" ht="14.25" x14ac:dyDescent="0.2">
      <c r="A49" s="2"/>
      <c r="B49" s="2"/>
      <c r="C49" s="2"/>
      <c r="D49" s="2"/>
      <c r="E49" s="2"/>
      <c r="F49" s="2"/>
      <c r="G49" s="2"/>
      <c r="H49" s="2"/>
      <c r="I49" s="2"/>
      <c r="J49" s="2"/>
      <c r="K49" s="2"/>
      <c r="L49" s="2"/>
    </row>
  </sheetData>
  <sheetProtection password="DE7B" sheet="1" objects="1" scenarios="1"/>
  <mergeCells count="16">
    <mergeCell ref="H12:J12"/>
    <mergeCell ref="H14:J14"/>
    <mergeCell ref="M19:O19"/>
    <mergeCell ref="H27:K27"/>
    <mergeCell ref="J7:K7"/>
    <mergeCell ref="J8:K8"/>
    <mergeCell ref="A22:A23"/>
    <mergeCell ref="B18:C18"/>
    <mergeCell ref="B19:C19"/>
    <mergeCell ref="B20:C20"/>
    <mergeCell ref="B21:C21"/>
    <mergeCell ref="A1:O1"/>
    <mergeCell ref="A2:C2"/>
    <mergeCell ref="H2:K2"/>
    <mergeCell ref="B3:C3"/>
    <mergeCell ref="M11:N11"/>
  </mergeCells>
  <phoneticPr fontId="87" type="noConversion"/>
  <dataValidations count="1">
    <dataValidation type="whole" allowBlank="1" showErrorMessage="1" error="need a number above 0 - maxium 20000 is possible" sqref="C4:C7 C9:C12 C14 C16">
      <formula1>1</formula1>
      <formula2>20000</formula2>
    </dataValidation>
  </dataValidations>
  <pageMargins left="0.39370078740157477" right="0.39370078740157477" top="0.39370078740157477" bottom="0.39370078740157477" header="0.19685039370078738" footer="0.19685039370078738"/>
  <pageSetup paperSize="9" scale="60" orientation="landscape" blackAndWhite="1" horizontalDpi="4294967293"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10</vt:i4>
      </vt:variant>
    </vt:vector>
  </HeadingPairs>
  <TitlesOfParts>
    <vt:vector size="23" baseType="lpstr">
      <vt:lpstr>Basic</vt:lpstr>
      <vt:lpstr>Instructions</vt:lpstr>
      <vt:lpstr>Welcome</vt:lpstr>
      <vt:lpstr>Summary</vt:lpstr>
      <vt:lpstr>Inputs</vt:lpstr>
      <vt:lpstr>Rations</vt:lpstr>
      <vt:lpstr>FeedValues</vt:lpstr>
      <vt:lpstr>Graphs</vt:lpstr>
      <vt:lpstr>Calculations</vt:lpstr>
      <vt:lpstr>ProfitLoss</vt:lpstr>
      <vt:lpstr>DataEntryForm</vt:lpstr>
      <vt:lpstr>PrintReports</vt:lpstr>
      <vt:lpstr>Sheet1</vt:lpstr>
      <vt:lpstr>Basic!Print_Area</vt:lpstr>
      <vt:lpstr>DataEntryForm!Print_Area</vt:lpstr>
      <vt:lpstr>FeedValues!Print_Area</vt:lpstr>
      <vt:lpstr>Inputs!Print_Area</vt:lpstr>
      <vt:lpstr>Instructions!Print_Area</vt:lpstr>
      <vt:lpstr>PrintReports!Print_Area</vt:lpstr>
      <vt:lpstr>ProfitLoss!Print_Area</vt:lpstr>
      <vt:lpstr>Rations!Print_Area</vt:lpstr>
      <vt:lpstr>Summary!Print_Area</vt:lpstr>
      <vt:lpstr>Welcome!Print_Area</vt:lpstr>
    </vt:vector>
  </TitlesOfParts>
  <Company>NSW Agriculture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Feedlot Cost Benefit</dc:title>
  <dc:subject>Feedlotting Lambs</dc:subject>
  <dc:creator>Geoff Duddy</dc:creator>
  <cp:lastModifiedBy>NSW Government User</cp:lastModifiedBy>
  <cp:lastPrinted>2008-04-23T04:19:18Z</cp:lastPrinted>
  <dcterms:created xsi:type="dcterms:W3CDTF">2002-04-23T23:36:02Z</dcterms:created>
  <dcterms:modified xsi:type="dcterms:W3CDTF">2018-08-31T01:30:00Z</dcterms:modified>
</cp:coreProperties>
</file>