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AMAPRDMLCFP1B\Groups$\DPI\EXC\DPI STRATEGY &amp; POLICY BRANCH\Economics &amp; Analysis\Market Industry Analysis\Performance Data and Insights\PDI 2021\Contents\Data Tables\FINAL\"/>
    </mc:Choice>
  </mc:AlternateContent>
  <xr:revisionPtr revIDLastSave="0" documentId="13_ncr:1_{230A548D-56DB-4FB6-B7FD-A5855AF34E10}" xr6:coauthVersionLast="45" xr6:coauthVersionMax="46" xr10:uidLastSave="{00000000-0000-0000-0000-000000000000}"/>
  <bookViews>
    <workbookView xWindow="1464" yWindow="1464" windowWidth="30960" windowHeight="12204" tabRatio="776" xr2:uid="{CBCE8E07-5E39-46E2-AC5D-B2C08697AC7A}"/>
  </bookViews>
  <sheets>
    <sheet name="Cover Sheet" sheetId="1" r:id="rId1"/>
    <sheet name="Wheat" sheetId="3" r:id="rId2"/>
    <sheet name="Barley" sheetId="4" r:id="rId3"/>
    <sheet name="Rice" sheetId="5" r:id="rId4"/>
    <sheet name="Coarse Grains" sheetId="6" r:id="rId5"/>
    <sheet name="Pulses" sheetId="7" r:id="rId6"/>
    <sheet name="Oilseeds" sheetId="8" r:id="rId7"/>
    <sheet name="Cotton Lint" sheetId="9" r:id="rId8"/>
    <sheet name="Sugarcane" sheetId="10" r:id="rId9"/>
    <sheet name="Horticulture" sheetId="11" r:id="rId10"/>
    <sheet name="Wine" sheetId="12" r:id="rId11"/>
    <sheet name="Beef" sheetId="13" r:id="rId12"/>
    <sheet name="Sheep Meat" sheetId="14" r:id="rId13"/>
    <sheet name="Goat Meat" sheetId="15" r:id="rId14"/>
    <sheet name="Pork" sheetId="16" r:id="rId15"/>
    <sheet name="Poultry" sheetId="17" r:id="rId16"/>
    <sheet name="Wool" sheetId="18" r:id="rId17"/>
    <sheet name="Eggs" sheetId="19" r:id="rId18"/>
    <sheet name="Milk" sheetId="20" r:id="rId19"/>
    <sheet name="Forestry" sheetId="21" r:id="rId20"/>
    <sheet name="Fisheries" sheetId="22" r:id="rId21"/>
    <sheet name="Gross Value of Production" sheetId="2" r:id="rId22"/>
    <sheet name="Production" sheetId="23" r:id="rId23"/>
    <sheet name="Prices" sheetId="24" r:id="rId24"/>
    <sheet name="Exports" sheetId="25" r:id="rId25"/>
    <sheet name="Imports &amp; Trade Balance" sheetId="26" r:id="rId26"/>
    <sheet name="Employment &amp; Businesses" sheetId="27" r:id="rId27"/>
    <sheet name="Endnotes" sheetId="28"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2" l="1"/>
  <c r="G33" i="2"/>
  <c r="F33" i="2"/>
  <c r="E33" i="2"/>
  <c r="D33" i="2"/>
  <c r="F10" i="2" l="1"/>
  <c r="E10" i="2"/>
  <c r="D10" i="2"/>
  <c r="F9" i="2"/>
  <c r="E9" i="2"/>
  <c r="D9" i="2"/>
  <c r="F8" i="2"/>
  <c r="E8" i="2"/>
  <c r="D8" i="2"/>
  <c r="F7" i="2"/>
  <c r="E7" i="2"/>
  <c r="D7" i="2"/>
  <c r="F6" i="2"/>
  <c r="E6" i="2"/>
  <c r="D6" i="2"/>
  <c r="F5" i="2"/>
  <c r="E5" i="2"/>
  <c r="D5" i="2"/>
  <c r="F4" i="2"/>
  <c r="E4" i="2"/>
  <c r="D4" i="2"/>
  <c r="F3" i="2"/>
  <c r="E3" i="2"/>
  <c r="D3" i="2"/>
  <c r="J2" i="2" l="1"/>
  <c r="I2" i="2"/>
  <c r="H2" i="2"/>
  <c r="J3" i="22" l="1"/>
  <c r="J4" i="22"/>
  <c r="K28" i="2"/>
  <c r="C31" i="2"/>
  <c r="D87" i="25"/>
  <c r="F13" i="9"/>
  <c r="J10" i="9"/>
  <c r="G2" i="3"/>
  <c r="L3" i="2"/>
  <c r="G56" i="27"/>
  <c r="G53" i="27"/>
  <c r="G42" i="27"/>
  <c r="F19" i="27"/>
  <c r="F4" i="27" s="1"/>
  <c r="F30" i="27"/>
  <c r="F5" i="27" s="1"/>
  <c r="F32" i="27"/>
  <c r="F6" i="27" s="1"/>
  <c r="F34" i="27"/>
  <c r="F38" i="27"/>
  <c r="L11" i="26" l="1"/>
  <c r="K11" i="26"/>
  <c r="L10" i="26"/>
  <c r="K10" i="26"/>
  <c r="L9" i="26"/>
  <c r="K9" i="26"/>
  <c r="L8" i="26"/>
  <c r="K8" i="26"/>
  <c r="L7" i="26"/>
  <c r="K7" i="26"/>
  <c r="L6" i="26"/>
  <c r="K6" i="26"/>
  <c r="L5" i="26"/>
  <c r="K5" i="26"/>
  <c r="L4" i="26"/>
  <c r="K4" i="26"/>
  <c r="L14" i="26"/>
  <c r="K14" i="26"/>
  <c r="L13" i="26"/>
  <c r="K13" i="26"/>
  <c r="L23" i="26"/>
  <c r="K23" i="26"/>
  <c r="L22" i="26"/>
  <c r="K22" i="26"/>
  <c r="L21" i="26"/>
  <c r="K21" i="26"/>
  <c r="L20" i="26"/>
  <c r="K20" i="26"/>
  <c r="L19" i="26"/>
  <c r="K19" i="26"/>
  <c r="L18" i="26"/>
  <c r="K18" i="26"/>
  <c r="L17" i="26"/>
  <c r="K17" i="26"/>
  <c r="L16" i="26"/>
  <c r="K16" i="26"/>
  <c r="L26" i="26"/>
  <c r="K26" i="26"/>
  <c r="L25" i="26"/>
  <c r="K25" i="26"/>
  <c r="L26" i="24"/>
  <c r="K26" i="24"/>
  <c r="L25" i="24"/>
  <c r="K25" i="24"/>
  <c r="L24" i="24"/>
  <c r="K24" i="24"/>
  <c r="L23" i="24"/>
  <c r="K23" i="24"/>
  <c r="L22" i="24"/>
  <c r="K22" i="24"/>
  <c r="L21" i="24"/>
  <c r="K21" i="24"/>
  <c r="L20" i="24"/>
  <c r="K20" i="24"/>
  <c r="L19" i="24"/>
  <c r="K19" i="24"/>
  <c r="L18" i="24"/>
  <c r="K18" i="24"/>
  <c r="L17" i="24"/>
  <c r="K17" i="24"/>
  <c r="L16" i="24"/>
  <c r="K16" i="24"/>
  <c r="L59" i="26"/>
  <c r="K59" i="26"/>
  <c r="L58" i="26"/>
  <c r="K58" i="26"/>
  <c r="L56" i="26"/>
  <c r="K56" i="26"/>
  <c r="L55" i="26"/>
  <c r="K55" i="26"/>
  <c r="L54" i="26"/>
  <c r="K54" i="26"/>
  <c r="L53" i="26"/>
  <c r="K53" i="26"/>
  <c r="L52" i="26"/>
  <c r="K52" i="26"/>
  <c r="L51" i="26"/>
  <c r="K51" i="26"/>
  <c r="L50" i="26"/>
  <c r="K50" i="26"/>
  <c r="L49" i="26"/>
  <c r="K49" i="26"/>
  <c r="L47" i="26"/>
  <c r="K47" i="26"/>
  <c r="L46" i="26"/>
  <c r="K46" i="26"/>
  <c r="L44" i="26"/>
  <c r="K44" i="26"/>
  <c r="L43" i="26"/>
  <c r="K43" i="26"/>
  <c r="L42" i="26"/>
  <c r="K42" i="26"/>
  <c r="L41" i="26"/>
  <c r="K41" i="26"/>
  <c r="L40" i="26"/>
  <c r="K40" i="26"/>
  <c r="L39" i="26"/>
  <c r="K39" i="26"/>
  <c r="L38" i="26"/>
  <c r="K38" i="26"/>
  <c r="L37" i="26"/>
  <c r="K37" i="26"/>
  <c r="L86" i="25"/>
  <c r="K86" i="25"/>
  <c r="L85" i="25"/>
  <c r="K85" i="25"/>
  <c r="L84" i="25"/>
  <c r="K84" i="25"/>
  <c r="L83" i="25"/>
  <c r="K83" i="25"/>
  <c r="L82" i="25"/>
  <c r="K82" i="25"/>
  <c r="L81" i="25"/>
  <c r="K81" i="25"/>
  <c r="L80" i="25"/>
  <c r="K80" i="25"/>
  <c r="L79" i="25"/>
  <c r="K79" i="25"/>
  <c r="L77" i="25"/>
  <c r="K77" i="25"/>
  <c r="L76" i="25"/>
  <c r="K76" i="25"/>
  <c r="L75" i="25"/>
  <c r="K75" i="25"/>
  <c r="L74" i="25"/>
  <c r="K74" i="25"/>
  <c r="L73" i="25"/>
  <c r="K73" i="25"/>
  <c r="L72" i="25"/>
  <c r="K72" i="25"/>
  <c r="L71" i="25"/>
  <c r="K71" i="25"/>
  <c r="L70" i="25"/>
  <c r="K70" i="25"/>
  <c r="L69" i="25"/>
  <c r="K69" i="25"/>
  <c r="L68" i="25"/>
  <c r="K68" i="25"/>
  <c r="L67" i="25"/>
  <c r="K67" i="25"/>
  <c r="L66" i="25"/>
  <c r="K66" i="25"/>
  <c r="L65" i="25"/>
  <c r="K65" i="25"/>
  <c r="L64" i="25"/>
  <c r="K64" i="25"/>
  <c r="L63" i="25"/>
  <c r="K63" i="25"/>
  <c r="L62" i="25"/>
  <c r="K62" i="25"/>
  <c r="L61" i="25"/>
  <c r="K61" i="25"/>
  <c r="L60" i="25"/>
  <c r="K60" i="25"/>
  <c r="L59" i="25"/>
  <c r="K59" i="25"/>
  <c r="L58" i="25"/>
  <c r="K58" i="25"/>
  <c r="L57" i="25"/>
  <c r="K57" i="25"/>
  <c r="L56" i="25"/>
  <c r="K56" i="25"/>
  <c r="L55" i="25"/>
  <c r="K55" i="25"/>
  <c r="L54" i="25"/>
  <c r="K54" i="25"/>
  <c r="L53" i="25"/>
  <c r="K53" i="25"/>
  <c r="L52" i="25"/>
  <c r="K52" i="25"/>
  <c r="L51" i="25"/>
  <c r="K51" i="25"/>
  <c r="L50" i="25"/>
  <c r="K50" i="25"/>
  <c r="L49" i="25"/>
  <c r="K49" i="25"/>
  <c r="L48" i="25"/>
  <c r="K48" i="25"/>
  <c r="L47" i="25"/>
  <c r="K47" i="25"/>
  <c r="L46" i="25"/>
  <c r="K46" i="25"/>
  <c r="L43" i="25"/>
  <c r="K43" i="25"/>
  <c r="L42" i="25"/>
  <c r="K42" i="25"/>
  <c r="L41" i="25"/>
  <c r="K41" i="25"/>
  <c r="L40" i="25"/>
  <c r="K40" i="25"/>
  <c r="L39" i="25"/>
  <c r="K39" i="25"/>
  <c r="L38" i="25"/>
  <c r="K38" i="25"/>
  <c r="L37" i="25"/>
  <c r="K37" i="25"/>
  <c r="L36" i="25"/>
  <c r="K36" i="25"/>
  <c r="L34" i="25"/>
  <c r="K34" i="25"/>
  <c r="L33" i="25"/>
  <c r="K33" i="25"/>
  <c r="L32" i="25"/>
  <c r="K32" i="25"/>
  <c r="L31" i="25"/>
  <c r="K31" i="25"/>
  <c r="L30" i="25"/>
  <c r="K30" i="25"/>
  <c r="L29" i="25"/>
  <c r="K29" i="25"/>
  <c r="L27" i="25"/>
  <c r="K27" i="25"/>
  <c r="L26" i="25"/>
  <c r="K26" i="25"/>
  <c r="L25" i="25"/>
  <c r="K25" i="25"/>
  <c r="L24" i="25"/>
  <c r="K24" i="25"/>
  <c r="L23" i="25"/>
  <c r="K23" i="25"/>
  <c r="L22" i="25"/>
  <c r="K22" i="25"/>
  <c r="L21" i="25"/>
  <c r="K21" i="25"/>
  <c r="L20" i="25"/>
  <c r="K20" i="25"/>
  <c r="L19" i="25"/>
  <c r="K19" i="25"/>
  <c r="L18" i="25"/>
  <c r="K18" i="25"/>
  <c r="L17" i="25"/>
  <c r="K17" i="25"/>
  <c r="L16" i="25"/>
  <c r="K16" i="25"/>
  <c r="L15" i="25"/>
  <c r="K15" i="25"/>
  <c r="L14" i="25"/>
  <c r="K14" i="25"/>
  <c r="L13" i="25"/>
  <c r="K13" i="25"/>
  <c r="L12" i="25"/>
  <c r="K12" i="25"/>
  <c r="L11" i="25"/>
  <c r="K11" i="25"/>
  <c r="L10" i="25"/>
  <c r="K10" i="25"/>
  <c r="L9" i="25"/>
  <c r="K9" i="25"/>
  <c r="L8" i="25"/>
  <c r="K8" i="25"/>
  <c r="L7" i="25"/>
  <c r="K7" i="25"/>
  <c r="L6" i="25"/>
  <c r="K6" i="25"/>
  <c r="L5" i="25"/>
  <c r="K5" i="25"/>
  <c r="L4" i="25"/>
  <c r="K4" i="25"/>
  <c r="L30" i="24"/>
  <c r="K30" i="24"/>
  <c r="L29" i="24"/>
  <c r="K29" i="24"/>
  <c r="L28" i="24"/>
  <c r="K28" i="24"/>
  <c r="L14" i="24"/>
  <c r="K14" i="24"/>
  <c r="L13" i="24"/>
  <c r="K13" i="24"/>
  <c r="L12" i="24"/>
  <c r="K12" i="24"/>
  <c r="L10" i="24"/>
  <c r="K10" i="24"/>
  <c r="L9" i="24"/>
  <c r="K9" i="24"/>
  <c r="L8" i="24"/>
  <c r="K8" i="24"/>
  <c r="L7" i="24"/>
  <c r="K7" i="24"/>
  <c r="L6" i="24"/>
  <c r="K6" i="24"/>
  <c r="L5" i="24"/>
  <c r="K5" i="24"/>
  <c r="L4" i="24"/>
  <c r="K4" i="24"/>
  <c r="L3" i="24"/>
  <c r="K3" i="24"/>
  <c r="L54" i="23"/>
  <c r="K54" i="23"/>
  <c r="L53" i="23"/>
  <c r="K53" i="23"/>
  <c r="L50" i="23"/>
  <c r="K50" i="23"/>
  <c r="L49" i="23"/>
  <c r="K49" i="23"/>
  <c r="L48" i="23"/>
  <c r="K48" i="23"/>
  <c r="L47" i="23"/>
  <c r="K47" i="23"/>
  <c r="L46" i="23"/>
  <c r="K46" i="23"/>
  <c r="L45" i="23"/>
  <c r="K45" i="23"/>
  <c r="L44" i="23"/>
  <c r="K44" i="23"/>
  <c r="L43" i="23"/>
  <c r="K43" i="23"/>
  <c r="L70" i="23"/>
  <c r="K70" i="23"/>
  <c r="L69" i="23"/>
  <c r="K69" i="23"/>
  <c r="L68" i="23"/>
  <c r="K68" i="23"/>
  <c r="L67" i="23"/>
  <c r="K67" i="23"/>
  <c r="L66" i="23"/>
  <c r="K66" i="23"/>
  <c r="L65" i="23"/>
  <c r="K65" i="23"/>
  <c r="L64" i="23"/>
  <c r="K64" i="23"/>
  <c r="L63" i="23"/>
  <c r="K63" i="23"/>
  <c r="L62" i="23"/>
  <c r="K62" i="23"/>
  <c r="L31" i="2"/>
  <c r="K31" i="2"/>
  <c r="L30" i="2"/>
  <c r="K30" i="2"/>
  <c r="L29" i="2"/>
  <c r="K29" i="2"/>
  <c r="L28" i="2"/>
  <c r="L25" i="2"/>
  <c r="K25" i="2"/>
  <c r="L24" i="2"/>
  <c r="K24" i="2"/>
  <c r="L23" i="2"/>
  <c r="K23" i="2"/>
  <c r="L22" i="2"/>
  <c r="K22" i="2"/>
  <c r="L21" i="2"/>
  <c r="K21" i="2"/>
  <c r="L20" i="2"/>
  <c r="K20" i="2"/>
  <c r="L19" i="2"/>
  <c r="K19" i="2"/>
  <c r="L18" i="2"/>
  <c r="K18" i="2"/>
  <c r="L16" i="2"/>
  <c r="K16" i="2"/>
  <c r="L15" i="2"/>
  <c r="K15" i="2"/>
  <c r="L14" i="2"/>
  <c r="K14" i="2"/>
  <c r="L13" i="2"/>
  <c r="K13" i="2"/>
  <c r="L10" i="2"/>
  <c r="K10" i="2"/>
  <c r="L9" i="2"/>
  <c r="K9" i="2"/>
  <c r="L8" i="2"/>
  <c r="K8" i="2"/>
  <c r="L7" i="2"/>
  <c r="K7" i="2"/>
  <c r="L6" i="2"/>
  <c r="K6" i="2"/>
  <c r="L5" i="2"/>
  <c r="K5" i="2"/>
  <c r="L4" i="2"/>
  <c r="K4" i="2"/>
  <c r="K3" i="2"/>
  <c r="G70" i="23" l="1"/>
  <c r="F70" i="23"/>
  <c r="E70" i="23"/>
  <c r="D70" i="23"/>
  <c r="G65" i="23"/>
  <c r="F65" i="23"/>
  <c r="E65" i="23"/>
  <c r="D65" i="23"/>
  <c r="G64" i="23"/>
  <c r="F64" i="23"/>
  <c r="E64" i="23"/>
  <c r="D64" i="23"/>
  <c r="G62" i="23"/>
  <c r="F62" i="23"/>
  <c r="E62" i="23"/>
  <c r="D62" i="23"/>
  <c r="G41" i="23"/>
  <c r="G50" i="23"/>
  <c r="F50" i="23"/>
  <c r="E50" i="23"/>
  <c r="D50" i="23"/>
  <c r="G54" i="23"/>
  <c r="F54" i="23"/>
  <c r="E54" i="23"/>
  <c r="D54" i="23"/>
  <c r="G53" i="23"/>
  <c r="F53" i="23"/>
  <c r="E53" i="23"/>
  <c r="D53" i="23"/>
  <c r="C53" i="23"/>
  <c r="D61" i="26"/>
  <c r="C61" i="26"/>
  <c r="G61" i="26" l="1"/>
  <c r="E61" i="26"/>
  <c r="F61" i="26"/>
  <c r="C14" i="25"/>
  <c r="F9" i="25"/>
  <c r="A9" i="25"/>
  <c r="G30" i="25"/>
  <c r="C30" i="25"/>
  <c r="G10" i="26"/>
  <c r="F30" i="25"/>
  <c r="E30" i="25"/>
  <c r="D30" i="25"/>
  <c r="K10" i="9"/>
  <c r="F27" i="25"/>
  <c r="E27" i="25"/>
  <c r="D27" i="25"/>
  <c r="C10" i="26"/>
  <c r="J11" i="9"/>
  <c r="I10" i="9"/>
  <c r="A30" i="25"/>
  <c r="D13" i="9"/>
  <c r="C43" i="26" s="1"/>
  <c r="K11" i="4"/>
  <c r="H13" i="4"/>
  <c r="G5" i="26"/>
  <c r="F5" i="26"/>
  <c r="E5" i="26"/>
  <c r="D5" i="26"/>
  <c r="G11" i="25"/>
  <c r="I11" i="4"/>
  <c r="E11" i="25"/>
  <c r="D11" i="25"/>
  <c r="G10" i="25"/>
  <c r="F10" i="25"/>
  <c r="E10" i="25"/>
  <c r="D10" i="25"/>
  <c r="G9" i="25"/>
  <c r="E9" i="25"/>
  <c r="D9" i="25"/>
  <c r="G8" i="25"/>
  <c r="G13" i="4"/>
  <c r="E8" i="25"/>
  <c r="D8" i="25"/>
  <c r="D13" i="4"/>
  <c r="C38" i="26" s="1"/>
  <c r="C5" i="26"/>
  <c r="A10" i="25"/>
  <c r="A11" i="25"/>
  <c r="C11" i="25"/>
  <c r="C10" i="25"/>
  <c r="J9" i="4"/>
  <c r="C8" i="25"/>
  <c r="H12" i="5"/>
  <c r="G6" i="26"/>
  <c r="F6" i="26"/>
  <c r="C6" i="26"/>
  <c r="I10" i="5"/>
  <c r="K10" i="5"/>
  <c r="J9" i="5"/>
  <c r="G12" i="5"/>
  <c r="A13" i="25"/>
  <c r="F8" i="25" l="1"/>
  <c r="I8" i="5"/>
  <c r="I12" i="5"/>
  <c r="I8" i="4"/>
  <c r="I12" i="4"/>
  <c r="J8" i="5"/>
  <c r="J8" i="4"/>
  <c r="J12" i="4"/>
  <c r="I9" i="9"/>
  <c r="G27" i="25"/>
  <c r="C9" i="25"/>
  <c r="K11" i="5"/>
  <c r="K8" i="5"/>
  <c r="K8" i="4"/>
  <c r="K12" i="4"/>
  <c r="J9" i="9"/>
  <c r="K12" i="9"/>
  <c r="D10" i="26"/>
  <c r="F11" i="25"/>
  <c r="I9" i="5"/>
  <c r="I9" i="4"/>
  <c r="I13" i="4"/>
  <c r="E10" i="26"/>
  <c r="D14" i="25"/>
  <c r="D12" i="5"/>
  <c r="C39" i="26" s="1"/>
  <c r="K9" i="5"/>
  <c r="K9" i="4"/>
  <c r="K11" i="9"/>
  <c r="K9" i="9"/>
  <c r="F14" i="25"/>
  <c r="I10" i="4"/>
  <c r="G13" i="9"/>
  <c r="F10" i="26"/>
  <c r="C27" i="25"/>
  <c r="F12" i="5"/>
  <c r="E6" i="26"/>
  <c r="J10" i="5"/>
  <c r="J10" i="4"/>
  <c r="J12" i="9"/>
  <c r="E13" i="4"/>
  <c r="K10" i="4"/>
  <c r="E12" i="5"/>
  <c r="D6" i="26"/>
  <c r="I11" i="5"/>
  <c r="F13" i="4"/>
  <c r="I12" i="9"/>
  <c r="J11" i="5"/>
  <c r="J11" i="4"/>
  <c r="K8" i="9"/>
  <c r="I8" i="9"/>
  <c r="E13" i="9"/>
  <c r="H13" i="9"/>
  <c r="J13" i="9" s="1"/>
  <c r="K13" i="4" l="1"/>
  <c r="J12" i="5"/>
  <c r="J13" i="4"/>
  <c r="K12" i="5"/>
  <c r="K13" i="9"/>
  <c r="I13" i="9"/>
  <c r="K9" i="22" l="1"/>
  <c r="J25" i="24" s="1"/>
  <c r="J9" i="22"/>
  <c r="I25" i="24" s="1"/>
  <c r="I9" i="22"/>
  <c r="H25" i="24" s="1"/>
  <c r="K8" i="22"/>
  <c r="J8" i="22"/>
  <c r="I8" i="22"/>
  <c r="K7" i="22"/>
  <c r="J7" i="22"/>
  <c r="I7" i="22"/>
  <c r="K6" i="22"/>
  <c r="J6" i="22"/>
  <c r="I6" i="22"/>
  <c r="K11" i="21"/>
  <c r="J11" i="21"/>
  <c r="I11" i="21"/>
  <c r="K10" i="21"/>
  <c r="J10" i="21"/>
  <c r="I10" i="21"/>
  <c r="K9" i="21"/>
  <c r="J9" i="21"/>
  <c r="I9" i="21"/>
  <c r="K8" i="21"/>
  <c r="J8" i="21"/>
  <c r="I8" i="21"/>
  <c r="K7" i="21"/>
  <c r="J53" i="23" s="1"/>
  <c r="J7" i="21"/>
  <c r="I53" i="23" s="1"/>
  <c r="I7" i="21"/>
  <c r="H53" i="23" s="1"/>
  <c r="K6" i="21"/>
  <c r="J54" i="23" s="1"/>
  <c r="J6" i="21"/>
  <c r="I54" i="23" s="1"/>
  <c r="I6" i="21"/>
  <c r="H54" i="23" s="1"/>
  <c r="K9" i="20"/>
  <c r="J9" i="20"/>
  <c r="I9" i="20"/>
  <c r="K8" i="20"/>
  <c r="J26" i="24" s="1"/>
  <c r="J8" i="20"/>
  <c r="I26" i="24" s="1"/>
  <c r="I8" i="20"/>
  <c r="H26" i="24" s="1"/>
  <c r="K7" i="20"/>
  <c r="J7" i="20"/>
  <c r="I7" i="20"/>
  <c r="K6" i="20"/>
  <c r="J6" i="20"/>
  <c r="I6" i="20"/>
  <c r="K5" i="20"/>
  <c r="J5" i="20"/>
  <c r="I5" i="20"/>
  <c r="K4" i="20"/>
  <c r="J70" i="23" s="1"/>
  <c r="J4" i="20"/>
  <c r="I70" i="23" s="1"/>
  <c r="I4" i="20"/>
  <c r="H70" i="23" s="1"/>
  <c r="K8" i="19"/>
  <c r="J8" i="19"/>
  <c r="I8" i="19"/>
  <c r="K6" i="19"/>
  <c r="J6" i="19"/>
  <c r="I6" i="19"/>
  <c r="K5" i="19"/>
  <c r="J5" i="19"/>
  <c r="I5" i="19"/>
  <c r="K4" i="19"/>
  <c r="J4" i="19"/>
  <c r="I4" i="19"/>
  <c r="K7" i="18"/>
  <c r="J7" i="18"/>
  <c r="I7" i="18"/>
  <c r="K6" i="18"/>
  <c r="J6" i="18"/>
  <c r="I6" i="18"/>
  <c r="K5" i="18"/>
  <c r="J5" i="18"/>
  <c r="I5" i="18"/>
  <c r="K4" i="18"/>
  <c r="J65" i="23" s="1"/>
  <c r="J4" i="18"/>
  <c r="I65" i="23" s="1"/>
  <c r="I4" i="18"/>
  <c r="H65" i="23" s="1"/>
  <c r="K5" i="17"/>
  <c r="J5" i="17"/>
  <c r="I5" i="17"/>
  <c r="K4" i="17"/>
  <c r="J4" i="17"/>
  <c r="I4" i="17"/>
  <c r="K5" i="16"/>
  <c r="J5" i="16"/>
  <c r="I5" i="16"/>
  <c r="K4" i="16"/>
  <c r="J4" i="16"/>
  <c r="I4" i="16"/>
  <c r="K5" i="15"/>
  <c r="J21" i="24" s="1"/>
  <c r="J5" i="15"/>
  <c r="I21" i="24" s="1"/>
  <c r="I5" i="15"/>
  <c r="H21" i="24" s="1"/>
  <c r="K4" i="15"/>
  <c r="J4" i="15"/>
  <c r="I4" i="15"/>
  <c r="K10" i="14"/>
  <c r="J20" i="24" s="1"/>
  <c r="J10" i="14"/>
  <c r="I20" i="24" s="1"/>
  <c r="I10" i="14"/>
  <c r="H20" i="24" s="1"/>
  <c r="K9" i="14"/>
  <c r="J19" i="24" s="1"/>
  <c r="J9" i="14"/>
  <c r="I19" i="24" s="1"/>
  <c r="I9" i="14"/>
  <c r="H19" i="24" s="1"/>
  <c r="K8" i="14"/>
  <c r="J8" i="14"/>
  <c r="I8" i="14"/>
  <c r="K7" i="14"/>
  <c r="J7" i="14"/>
  <c r="I7" i="14"/>
  <c r="K6" i="14"/>
  <c r="J6" i="14"/>
  <c r="I6" i="14"/>
  <c r="K5" i="14"/>
  <c r="J5" i="14"/>
  <c r="I5" i="14"/>
  <c r="K4" i="14"/>
  <c r="J64" i="23" s="1"/>
  <c r="J4" i="14"/>
  <c r="I64" i="23" s="1"/>
  <c r="I4" i="14"/>
  <c r="H64" i="23" s="1"/>
  <c r="K12" i="13"/>
  <c r="J18" i="24" s="1"/>
  <c r="J12" i="13"/>
  <c r="I18" i="24" s="1"/>
  <c r="I12" i="13"/>
  <c r="H18" i="24" s="1"/>
  <c r="K11" i="13"/>
  <c r="J17" i="24" s="1"/>
  <c r="J11" i="13"/>
  <c r="I17" i="24" s="1"/>
  <c r="I11" i="13"/>
  <c r="H17" i="24" s="1"/>
  <c r="K10" i="13"/>
  <c r="J16" i="24" s="1"/>
  <c r="J10" i="13"/>
  <c r="I16" i="24" s="1"/>
  <c r="I10" i="13"/>
  <c r="H16" i="24" s="1"/>
  <c r="K9" i="13"/>
  <c r="J9" i="13"/>
  <c r="I9" i="13"/>
  <c r="K8" i="13"/>
  <c r="J8" i="13"/>
  <c r="I8" i="13"/>
  <c r="K7" i="13"/>
  <c r="J7" i="13"/>
  <c r="I7" i="13"/>
  <c r="K6" i="13"/>
  <c r="J6" i="13"/>
  <c r="I6" i="13"/>
  <c r="K5" i="13"/>
  <c r="J5" i="13"/>
  <c r="I5" i="13"/>
  <c r="K4" i="13"/>
  <c r="J62" i="23" s="1"/>
  <c r="J4" i="13"/>
  <c r="I62" i="23" s="1"/>
  <c r="I4" i="13"/>
  <c r="H62" i="23" s="1"/>
  <c r="K6" i="12"/>
  <c r="J6" i="12"/>
  <c r="I6" i="12"/>
  <c r="I4" i="12"/>
  <c r="K14" i="11"/>
  <c r="J14" i="11"/>
  <c r="I14" i="11"/>
  <c r="K13" i="11"/>
  <c r="J13" i="11"/>
  <c r="I13" i="11"/>
  <c r="K12" i="11"/>
  <c r="J12" i="11"/>
  <c r="I12" i="11"/>
  <c r="K11" i="11"/>
  <c r="J11" i="11"/>
  <c r="I11" i="11"/>
  <c r="K10" i="11"/>
  <c r="J10" i="11"/>
  <c r="I10" i="11"/>
  <c r="K9" i="11"/>
  <c r="J9" i="11"/>
  <c r="I9" i="11"/>
  <c r="K8" i="11"/>
  <c r="J8" i="11"/>
  <c r="I8" i="11"/>
  <c r="K7" i="11"/>
  <c r="J7" i="11"/>
  <c r="I7" i="11"/>
  <c r="K7" i="10"/>
  <c r="J7" i="10"/>
  <c r="I7" i="10"/>
  <c r="K6" i="10"/>
  <c r="J6" i="10"/>
  <c r="I6" i="10"/>
  <c r="K4" i="10"/>
  <c r="J50" i="23" s="1"/>
  <c r="J4" i="10"/>
  <c r="I50" i="23" s="1"/>
  <c r="I4" i="10"/>
  <c r="H50" i="23" s="1"/>
  <c r="I88" i="25"/>
  <c r="H88" i="25"/>
  <c r="J88" i="25"/>
  <c r="G30" i="24" l="1"/>
  <c r="F30" i="24"/>
  <c r="E30" i="24"/>
  <c r="D30" i="24"/>
  <c r="C30" i="24"/>
  <c r="G29" i="24"/>
  <c r="F29" i="24"/>
  <c r="E29" i="24"/>
  <c r="D29" i="24"/>
  <c r="G28" i="24"/>
  <c r="F28" i="24"/>
  <c r="E28" i="24"/>
  <c r="D28" i="24"/>
  <c r="G26" i="24"/>
  <c r="F26" i="24"/>
  <c r="E26" i="24"/>
  <c r="D26" i="24"/>
  <c r="G25" i="24"/>
  <c r="F25" i="24"/>
  <c r="E25" i="24"/>
  <c r="D25" i="24"/>
  <c r="G21" i="24"/>
  <c r="F21" i="24"/>
  <c r="E21" i="24"/>
  <c r="D21" i="24"/>
  <c r="G20" i="24"/>
  <c r="F20" i="24"/>
  <c r="E20" i="24"/>
  <c r="D20" i="24"/>
  <c r="E19" i="24"/>
  <c r="G18" i="24"/>
  <c r="F18" i="24"/>
  <c r="E18" i="24"/>
  <c r="D18" i="24"/>
  <c r="G17" i="24"/>
  <c r="F17" i="24"/>
  <c r="E17" i="24"/>
  <c r="D17" i="24"/>
  <c r="G16" i="24"/>
  <c r="F16" i="24"/>
  <c r="E16" i="24"/>
  <c r="D16" i="24"/>
  <c r="G26" i="23"/>
  <c r="F26" i="23"/>
  <c r="E26" i="23"/>
  <c r="D26" i="23"/>
  <c r="G25" i="23"/>
  <c r="E25" i="23"/>
  <c r="G23" i="23"/>
  <c r="F23" i="23"/>
  <c r="E23" i="23"/>
  <c r="D23" i="23"/>
  <c r="G22" i="23"/>
  <c r="F22" i="23"/>
  <c r="E22" i="23"/>
  <c r="D22" i="23"/>
  <c r="G19" i="24"/>
  <c r="F19" i="24"/>
  <c r="D19" i="24"/>
  <c r="C29" i="23"/>
  <c r="C28" i="23"/>
  <c r="G29" i="23"/>
  <c r="F29" i="23"/>
  <c r="E29" i="23"/>
  <c r="G28" i="23"/>
  <c r="H28" i="23" s="1"/>
  <c r="F28" i="23"/>
  <c r="E28" i="23"/>
  <c r="F32" i="23"/>
  <c r="E32" i="23"/>
  <c r="D32" i="23"/>
  <c r="F31" i="23"/>
  <c r="E31" i="23"/>
  <c r="D31" i="23"/>
  <c r="F30" i="23"/>
  <c r="E30" i="23"/>
  <c r="D30" i="23"/>
  <c r="C31" i="23"/>
  <c r="G13" i="24"/>
  <c r="F13" i="24"/>
  <c r="E13" i="24"/>
  <c r="D13" i="24"/>
  <c r="G12" i="24"/>
  <c r="F12" i="24"/>
  <c r="E12" i="24"/>
  <c r="D12" i="24"/>
  <c r="C33" i="2" l="1"/>
  <c r="J26" i="2"/>
  <c r="I26" i="2"/>
  <c r="H26" i="2"/>
  <c r="J34" i="2"/>
  <c r="I34" i="2"/>
  <c r="H34" i="2"/>
  <c r="J35" i="2"/>
  <c r="I35" i="2"/>
  <c r="H35" i="2"/>
  <c r="H36" i="2"/>
  <c r="J36" i="2"/>
  <c r="I36" i="2"/>
  <c r="J33" i="2" l="1"/>
  <c r="I33" i="2"/>
  <c r="H33" i="2"/>
  <c r="G24" i="24" l="1"/>
  <c r="J8" i="18"/>
  <c r="I24" i="24" s="1"/>
  <c r="I8" i="18"/>
  <c r="H24" i="24" s="1"/>
  <c r="K8" i="18"/>
  <c r="J24" i="24" s="1"/>
  <c r="D24" i="24"/>
  <c r="E24" i="24"/>
  <c r="F24" i="24"/>
  <c r="G24" i="23"/>
  <c r="F24" i="23"/>
  <c r="E24" i="23"/>
  <c r="D24" i="23"/>
  <c r="C24" i="23"/>
  <c r="C23" i="23"/>
  <c r="C22" i="23"/>
  <c r="F23" i="24" l="1"/>
  <c r="E23" i="24"/>
  <c r="D23" i="24"/>
  <c r="F25" i="23"/>
  <c r="D25" i="23"/>
  <c r="C25" i="23"/>
  <c r="D22" i="24"/>
  <c r="E22" i="24"/>
  <c r="F22" i="24"/>
  <c r="G22" i="24" l="1"/>
  <c r="K6" i="16"/>
  <c r="J22" i="24" s="1"/>
  <c r="J6" i="16"/>
  <c r="I22" i="24" s="1"/>
  <c r="I6" i="16"/>
  <c r="H22" i="24" s="1"/>
  <c r="G23" i="24"/>
  <c r="K6" i="17"/>
  <c r="J23" i="24" s="1"/>
  <c r="J6" i="17"/>
  <c r="I23" i="24" s="1"/>
  <c r="I6" i="17"/>
  <c r="H23" i="24" s="1"/>
  <c r="K7" i="19"/>
  <c r="J7" i="19"/>
  <c r="I7" i="19"/>
  <c r="G21" i="23"/>
  <c r="F21" i="23"/>
  <c r="E21" i="23"/>
  <c r="D21" i="23"/>
  <c r="G20" i="23"/>
  <c r="G19" i="23"/>
  <c r="F19" i="23"/>
  <c r="E19" i="23"/>
  <c r="D19" i="23"/>
  <c r="C21" i="23"/>
  <c r="G17" i="23"/>
  <c r="G16" i="23"/>
  <c r="E16" i="23"/>
  <c r="G15" i="23"/>
  <c r="E15" i="23"/>
  <c r="G14" i="23"/>
  <c r="E14" i="23"/>
  <c r="G13" i="23"/>
  <c r="E13" i="23"/>
  <c r="G12" i="23"/>
  <c r="E12" i="23"/>
  <c r="F20" i="23"/>
  <c r="D20" i="23"/>
  <c r="E20" i="23"/>
  <c r="C20" i="23"/>
  <c r="F14" i="24"/>
  <c r="E14" i="24"/>
  <c r="D14" i="24"/>
  <c r="C17" i="23"/>
  <c r="F17" i="23"/>
  <c r="G14" i="24" l="1"/>
  <c r="K7" i="12"/>
  <c r="J7" i="12"/>
  <c r="I7" i="12"/>
  <c r="E17" i="23"/>
  <c r="G5" i="12"/>
  <c r="I5" i="12" s="1"/>
  <c r="D17" i="23"/>
  <c r="F4" i="12"/>
  <c r="D5" i="12"/>
  <c r="F16" i="23"/>
  <c r="F15" i="23"/>
  <c r="F14" i="23"/>
  <c r="F13" i="23"/>
  <c r="F12" i="23"/>
  <c r="K4" i="12" l="1"/>
  <c r="J4" i="12"/>
  <c r="F5" i="12"/>
  <c r="E5" i="12"/>
  <c r="D16" i="23"/>
  <c r="C16" i="23"/>
  <c r="D15" i="23"/>
  <c r="C15" i="23"/>
  <c r="D14" i="23"/>
  <c r="C14" i="23"/>
  <c r="D13" i="23"/>
  <c r="C13" i="23"/>
  <c r="D12" i="23"/>
  <c r="C12" i="23"/>
  <c r="F31" i="2"/>
  <c r="E30" i="2"/>
  <c r="F28" i="2"/>
  <c r="E28" i="2"/>
  <c r="C29" i="2"/>
  <c r="G66" i="23"/>
  <c r="C21" i="2"/>
  <c r="G67" i="23"/>
  <c r="C22" i="2"/>
  <c r="F23" i="2"/>
  <c r="E23" i="2"/>
  <c r="C23" i="2"/>
  <c r="G68" i="23"/>
  <c r="C24" i="2"/>
  <c r="G69" i="23"/>
  <c r="C25" i="2"/>
  <c r="F18" i="2"/>
  <c r="E18" i="2"/>
  <c r="C18" i="2"/>
  <c r="D26" i="26"/>
  <c r="E26" i="26"/>
  <c r="G86" i="25"/>
  <c r="F86" i="25"/>
  <c r="E86" i="25"/>
  <c r="D86" i="25"/>
  <c r="G85" i="25"/>
  <c r="F85" i="25"/>
  <c r="E85" i="25"/>
  <c r="D85" i="25"/>
  <c r="G84" i="25"/>
  <c r="F84" i="25"/>
  <c r="E84" i="25"/>
  <c r="D84" i="25"/>
  <c r="G83" i="25"/>
  <c r="F83" i="25"/>
  <c r="E83" i="25"/>
  <c r="D83" i="25"/>
  <c r="F23" i="26"/>
  <c r="E23" i="26"/>
  <c r="D23" i="26"/>
  <c r="G75" i="25"/>
  <c r="F75" i="25"/>
  <c r="E75" i="25"/>
  <c r="D75" i="25"/>
  <c r="G74" i="25"/>
  <c r="F74" i="25"/>
  <c r="E74" i="25"/>
  <c r="D74" i="25"/>
  <c r="G77" i="25"/>
  <c r="F77" i="25"/>
  <c r="E77" i="25"/>
  <c r="D77" i="25"/>
  <c r="G76" i="25"/>
  <c r="F76" i="25"/>
  <c r="E76" i="25"/>
  <c r="D76" i="25"/>
  <c r="F25" i="26"/>
  <c r="D25" i="26"/>
  <c r="D17" i="21"/>
  <c r="G82" i="25"/>
  <c r="F82" i="25"/>
  <c r="E82" i="25"/>
  <c r="D82" i="25"/>
  <c r="G81" i="25"/>
  <c r="F81" i="25"/>
  <c r="E81" i="25"/>
  <c r="D81" i="25"/>
  <c r="G80" i="25"/>
  <c r="F80" i="25"/>
  <c r="E80" i="25"/>
  <c r="D80" i="25"/>
  <c r="E79" i="25"/>
  <c r="F22" i="26"/>
  <c r="E22" i="26"/>
  <c r="D22" i="26"/>
  <c r="G73" i="25"/>
  <c r="F73" i="25"/>
  <c r="E73" i="25"/>
  <c r="D73" i="25"/>
  <c r="G72" i="25"/>
  <c r="F72" i="25"/>
  <c r="E72" i="25"/>
  <c r="D72" i="25"/>
  <c r="G71" i="25"/>
  <c r="F71" i="25"/>
  <c r="E71" i="25"/>
  <c r="D71" i="25"/>
  <c r="G70" i="25"/>
  <c r="D70" i="25"/>
  <c r="F21" i="26"/>
  <c r="E21" i="26"/>
  <c r="D21" i="26"/>
  <c r="G69" i="25"/>
  <c r="F69" i="25"/>
  <c r="E69" i="25"/>
  <c r="D69" i="25"/>
  <c r="G68" i="25"/>
  <c r="F68" i="25"/>
  <c r="E68" i="25"/>
  <c r="D68" i="25"/>
  <c r="G67" i="25"/>
  <c r="F67" i="25"/>
  <c r="E67" i="25"/>
  <c r="D67" i="25"/>
  <c r="G66" i="25"/>
  <c r="F66" i="25"/>
  <c r="E66" i="25"/>
  <c r="D66" i="25"/>
  <c r="F20" i="26"/>
  <c r="E20" i="26"/>
  <c r="D20" i="26"/>
  <c r="G65" i="25"/>
  <c r="F65" i="25"/>
  <c r="E65" i="25"/>
  <c r="D65" i="25"/>
  <c r="G64" i="25"/>
  <c r="F64" i="25"/>
  <c r="E64" i="25"/>
  <c r="D64" i="25"/>
  <c r="G63" i="25"/>
  <c r="F63" i="25"/>
  <c r="E63" i="25"/>
  <c r="D63" i="25"/>
  <c r="G62" i="25"/>
  <c r="F62" i="25"/>
  <c r="E62" i="25"/>
  <c r="D62" i="25"/>
  <c r="D12" i="17"/>
  <c r="G61" i="25"/>
  <c r="F61" i="25"/>
  <c r="E61" i="25"/>
  <c r="D61" i="25"/>
  <c r="G60" i="25"/>
  <c r="F60" i="25"/>
  <c r="E60" i="25"/>
  <c r="D60" i="25"/>
  <c r="G59" i="25"/>
  <c r="F59" i="25"/>
  <c r="E59" i="25"/>
  <c r="D59" i="25"/>
  <c r="G58" i="25"/>
  <c r="F58" i="25"/>
  <c r="E58" i="25"/>
  <c r="D58" i="25"/>
  <c r="F16" i="26"/>
  <c r="E16" i="26"/>
  <c r="D16" i="26"/>
  <c r="G49" i="25"/>
  <c r="F49" i="25"/>
  <c r="E49" i="25"/>
  <c r="D49" i="25"/>
  <c r="G48" i="25"/>
  <c r="F48" i="25"/>
  <c r="E48" i="25"/>
  <c r="D48" i="25"/>
  <c r="G47" i="25"/>
  <c r="F47" i="25"/>
  <c r="E47" i="25"/>
  <c r="D47" i="25"/>
  <c r="G46" i="25"/>
  <c r="F46" i="25"/>
  <c r="E46" i="25"/>
  <c r="D46" i="25"/>
  <c r="D18" i="13"/>
  <c r="E20" i="2"/>
  <c r="C20" i="2"/>
  <c r="F20" i="2"/>
  <c r="G63" i="23"/>
  <c r="C19" i="2"/>
  <c r="F17" i="26"/>
  <c r="E17" i="26"/>
  <c r="D17" i="26"/>
  <c r="G53" i="25"/>
  <c r="F53" i="25"/>
  <c r="E53" i="25"/>
  <c r="D53" i="25"/>
  <c r="G52" i="25"/>
  <c r="F52" i="25"/>
  <c r="E52" i="25"/>
  <c r="D52" i="25"/>
  <c r="G51" i="25"/>
  <c r="F51" i="25"/>
  <c r="E51" i="25"/>
  <c r="D51" i="25"/>
  <c r="G50" i="25"/>
  <c r="F50" i="25"/>
  <c r="E50" i="25"/>
  <c r="D50" i="25"/>
  <c r="F18" i="26"/>
  <c r="E18" i="26"/>
  <c r="D18" i="26"/>
  <c r="G57" i="25"/>
  <c r="F57" i="25"/>
  <c r="E57" i="25"/>
  <c r="D57" i="25"/>
  <c r="G56" i="25"/>
  <c r="F56" i="25"/>
  <c r="E56" i="25"/>
  <c r="D56" i="25"/>
  <c r="G55" i="25"/>
  <c r="F55" i="25"/>
  <c r="E55" i="25"/>
  <c r="D55" i="25"/>
  <c r="G54" i="25"/>
  <c r="F54" i="25"/>
  <c r="E54" i="25"/>
  <c r="D54" i="25"/>
  <c r="C54" i="25"/>
  <c r="C18" i="26"/>
  <c r="A56" i="25"/>
  <c r="A55" i="25"/>
  <c r="A57" i="25"/>
  <c r="C57" i="25"/>
  <c r="C56" i="25"/>
  <c r="C55" i="25"/>
  <c r="D40" i="25"/>
  <c r="E40" i="25"/>
  <c r="F40" i="25"/>
  <c r="D41" i="25"/>
  <c r="E41" i="25"/>
  <c r="F41" i="25"/>
  <c r="D42" i="25"/>
  <c r="E42" i="25"/>
  <c r="F42" i="25"/>
  <c r="D43" i="25"/>
  <c r="E43" i="25"/>
  <c r="F43" i="25"/>
  <c r="D14" i="26"/>
  <c r="E14" i="26"/>
  <c r="F14" i="26"/>
  <c r="F16" i="2"/>
  <c r="E16" i="2"/>
  <c r="C16" i="2"/>
  <c r="F15" i="2"/>
  <c r="E15" i="2"/>
  <c r="F14" i="2"/>
  <c r="E14" i="2"/>
  <c r="F13" i="2"/>
  <c r="C15" i="2"/>
  <c r="C14" i="2"/>
  <c r="C13" i="2"/>
  <c r="F13" i="26"/>
  <c r="F12" i="26" s="1"/>
  <c r="D13" i="26"/>
  <c r="D12" i="26" s="1"/>
  <c r="F39" i="25"/>
  <c r="E39" i="25"/>
  <c r="D39" i="25"/>
  <c r="F38" i="25"/>
  <c r="E38" i="25"/>
  <c r="D38" i="25"/>
  <c r="F37" i="25"/>
  <c r="E37" i="25"/>
  <c r="D37" i="25"/>
  <c r="F36" i="25"/>
  <c r="F35" i="25" s="1"/>
  <c r="E36" i="25"/>
  <c r="E35" i="25" s="1"/>
  <c r="D36" i="25"/>
  <c r="D35" i="25" s="1"/>
  <c r="C32" i="25"/>
  <c r="G11" i="26"/>
  <c r="F11" i="26"/>
  <c r="E11" i="26"/>
  <c r="D11" i="26"/>
  <c r="F34" i="25"/>
  <c r="E34" i="25"/>
  <c r="D34" i="25"/>
  <c r="F33" i="25"/>
  <c r="E33" i="25"/>
  <c r="D33" i="25"/>
  <c r="F32" i="25"/>
  <c r="E32" i="25"/>
  <c r="D32" i="25"/>
  <c r="F31" i="25"/>
  <c r="C33" i="25"/>
  <c r="C34" i="25"/>
  <c r="D19" i="9"/>
  <c r="E19" i="9"/>
  <c r="G14" i="8"/>
  <c r="F42" i="26" s="1"/>
  <c r="G9" i="26"/>
  <c r="F9" i="26"/>
  <c r="E9" i="26"/>
  <c r="D9" i="26"/>
  <c r="F26" i="25"/>
  <c r="E26" i="25"/>
  <c r="D26" i="25"/>
  <c r="F25" i="25"/>
  <c r="E25" i="25"/>
  <c r="D25" i="25"/>
  <c r="F24" i="25"/>
  <c r="E24" i="25"/>
  <c r="D24" i="25"/>
  <c r="F23" i="25"/>
  <c r="F21" i="25"/>
  <c r="E21" i="25"/>
  <c r="D21" i="25"/>
  <c r="F20" i="25"/>
  <c r="E20" i="25"/>
  <c r="D20" i="25"/>
  <c r="F19" i="25"/>
  <c r="E19" i="25"/>
  <c r="D19" i="25"/>
  <c r="E13" i="7"/>
  <c r="D41" i="26" s="1"/>
  <c r="G8" i="26"/>
  <c r="F8" i="26"/>
  <c r="E8" i="26"/>
  <c r="D8" i="26"/>
  <c r="G7" i="26"/>
  <c r="F7" i="26"/>
  <c r="E7" i="26"/>
  <c r="D7" i="26"/>
  <c r="F18" i="25"/>
  <c r="E18" i="25"/>
  <c r="D18" i="25"/>
  <c r="F17" i="25"/>
  <c r="E17" i="25"/>
  <c r="D17" i="25"/>
  <c r="F16" i="25"/>
  <c r="E16" i="25"/>
  <c r="D16" i="25"/>
  <c r="F15" i="25"/>
  <c r="E15" i="25"/>
  <c r="D15" i="25"/>
  <c r="H18" i="5"/>
  <c r="G1" i="23"/>
  <c r="G60" i="23" s="1"/>
  <c r="F1" i="23"/>
  <c r="E1" i="23"/>
  <c r="D1" i="23"/>
  <c r="C1" i="23"/>
  <c r="G2" i="22"/>
  <c r="F2" i="22"/>
  <c r="E2" i="22"/>
  <c r="D2" i="22"/>
  <c r="G2" i="21"/>
  <c r="F2" i="21"/>
  <c r="E2" i="21"/>
  <c r="D2" i="21"/>
  <c r="G2" i="20"/>
  <c r="F2" i="20"/>
  <c r="E2" i="20"/>
  <c r="D2" i="20"/>
  <c r="G2" i="19"/>
  <c r="F2" i="19"/>
  <c r="E2" i="19"/>
  <c r="D2" i="19"/>
  <c r="G2" i="18"/>
  <c r="F2" i="18"/>
  <c r="E2" i="18"/>
  <c r="D2" i="18"/>
  <c r="G2" i="17"/>
  <c r="F2" i="17"/>
  <c r="E2" i="17"/>
  <c r="D2" i="17"/>
  <c r="G2" i="16"/>
  <c r="F2" i="16"/>
  <c r="E2" i="16"/>
  <c r="D2" i="16"/>
  <c r="G2" i="15"/>
  <c r="F2" i="15"/>
  <c r="E2" i="15"/>
  <c r="D2" i="15"/>
  <c r="G2" i="14"/>
  <c r="F2" i="14"/>
  <c r="E2" i="14"/>
  <c r="D2" i="14"/>
  <c r="G2" i="12"/>
  <c r="F2" i="12"/>
  <c r="E2" i="12"/>
  <c r="D2" i="12"/>
  <c r="G2" i="11"/>
  <c r="F2" i="11"/>
  <c r="E2" i="11"/>
  <c r="D2" i="11"/>
  <c r="F4" i="26"/>
  <c r="E4" i="26"/>
  <c r="D4" i="26"/>
  <c r="D13" i="3"/>
  <c r="D7" i="25"/>
  <c r="D6" i="25"/>
  <c r="D5" i="25"/>
  <c r="D4" i="25"/>
  <c r="E7" i="25"/>
  <c r="E6" i="25"/>
  <c r="E5" i="25"/>
  <c r="E4" i="25"/>
  <c r="F7" i="25"/>
  <c r="F6" i="25"/>
  <c r="F5" i="25"/>
  <c r="F4" i="25"/>
  <c r="G7" i="25"/>
  <c r="G6" i="25"/>
  <c r="G5" i="25"/>
  <c r="G4" i="25"/>
  <c r="E78" i="25" l="1"/>
  <c r="K5" i="12"/>
  <c r="J5" i="12"/>
  <c r="H7" i="25"/>
  <c r="G14" i="19"/>
  <c r="F55" i="26" s="1"/>
  <c r="F70" i="25"/>
  <c r="H70" i="25" s="1"/>
  <c r="D67" i="23"/>
  <c r="H73" i="25"/>
  <c r="E17" i="21"/>
  <c r="D58" i="26" s="1"/>
  <c r="D79" i="25"/>
  <c r="D78" i="25" s="1"/>
  <c r="H75" i="25"/>
  <c r="H86" i="25"/>
  <c r="E22" i="2"/>
  <c r="E67" i="23"/>
  <c r="H81" i="25"/>
  <c r="F22" i="2"/>
  <c r="F67" i="23"/>
  <c r="H13" i="3"/>
  <c r="G37" i="26" s="1"/>
  <c r="G4" i="26"/>
  <c r="H60" i="25"/>
  <c r="H17" i="21"/>
  <c r="G79" i="25"/>
  <c r="H77" i="25"/>
  <c r="F24" i="2"/>
  <c r="F68" i="23"/>
  <c r="H71" i="25"/>
  <c r="D15" i="20"/>
  <c r="D66" i="23"/>
  <c r="H66" i="25"/>
  <c r="H13" i="7"/>
  <c r="D11" i="15"/>
  <c r="C51" i="26" s="1"/>
  <c r="D16" i="14"/>
  <c r="H58" i="25"/>
  <c r="H64" i="25"/>
  <c r="H67" i="25"/>
  <c r="E21" i="2"/>
  <c r="E66" i="23"/>
  <c r="H82" i="25"/>
  <c r="F21" i="2"/>
  <c r="F66" i="23"/>
  <c r="H69" i="25"/>
  <c r="E24" i="2"/>
  <c r="E68" i="23"/>
  <c r="D13" i="12"/>
  <c r="D63" i="23"/>
  <c r="H61" i="25"/>
  <c r="H85" i="25"/>
  <c r="H63" i="25"/>
  <c r="G17" i="21"/>
  <c r="F58" i="26" s="1"/>
  <c r="F79" i="25"/>
  <c r="F78" i="25" s="1"/>
  <c r="H84" i="25"/>
  <c r="D14" i="10"/>
  <c r="C44" i="26" s="1"/>
  <c r="E19" i="2"/>
  <c r="E63" i="23"/>
  <c r="D12" i="16"/>
  <c r="H72" i="25"/>
  <c r="H80" i="25"/>
  <c r="H74" i="25"/>
  <c r="D69" i="23"/>
  <c r="F19" i="2"/>
  <c r="F63" i="23"/>
  <c r="H59" i="25"/>
  <c r="H62" i="25"/>
  <c r="H65" i="25"/>
  <c r="H68" i="25"/>
  <c r="E25" i="2"/>
  <c r="E69" i="23"/>
  <c r="D68" i="23"/>
  <c r="F14" i="19"/>
  <c r="E55" i="26" s="1"/>
  <c r="E70" i="25"/>
  <c r="H76" i="25"/>
  <c r="H83" i="25"/>
  <c r="F25" i="2"/>
  <c r="F69" i="23"/>
  <c r="D14" i="8"/>
  <c r="C42" i="26" s="1"/>
  <c r="G13" i="12"/>
  <c r="F47" i="26" s="1"/>
  <c r="G13" i="6"/>
  <c r="F40" i="26" s="1"/>
  <c r="D13" i="7"/>
  <c r="C41" i="26" s="1"/>
  <c r="D14" i="18"/>
  <c r="H18" i="13"/>
  <c r="D14" i="19"/>
  <c r="E15" i="20"/>
  <c r="D56" i="26" s="1"/>
  <c r="F18" i="13"/>
  <c r="E49" i="26" s="1"/>
  <c r="F15" i="20"/>
  <c r="E56" i="26" s="1"/>
  <c r="D20" i="11"/>
  <c r="G15" i="20"/>
  <c r="F56" i="26" s="1"/>
  <c r="D15" i="22"/>
  <c r="F15" i="22"/>
  <c r="E59" i="26" s="1"/>
  <c r="F13" i="7"/>
  <c r="E41" i="26" s="1"/>
  <c r="G13" i="7"/>
  <c r="F41" i="26" s="1"/>
  <c r="E13" i="12"/>
  <c r="D47" i="26" s="1"/>
  <c r="H14" i="19"/>
  <c r="D24" i="26"/>
  <c r="D18" i="5"/>
  <c r="K6" i="11"/>
  <c r="J6" i="11"/>
  <c r="I6" i="11"/>
  <c r="G18" i="2"/>
  <c r="K3" i="13"/>
  <c r="J3" i="13"/>
  <c r="I3" i="13"/>
  <c r="G16" i="2"/>
  <c r="K3" i="12"/>
  <c r="J3" i="12"/>
  <c r="I3" i="12"/>
  <c r="G29" i="2"/>
  <c r="I5" i="21"/>
  <c r="K5" i="21"/>
  <c r="J5" i="21"/>
  <c r="H11" i="2"/>
  <c r="J11" i="2"/>
  <c r="G19" i="2"/>
  <c r="J3" i="14"/>
  <c r="I63" i="23" s="1"/>
  <c r="K3" i="14"/>
  <c r="J63" i="23" s="1"/>
  <c r="I3" i="14"/>
  <c r="H63" i="23" s="1"/>
  <c r="D3" i="22"/>
  <c r="G20" i="2"/>
  <c r="K3" i="15"/>
  <c r="J3" i="15"/>
  <c r="I3" i="15"/>
  <c r="G21" i="2"/>
  <c r="I3" i="16"/>
  <c r="H66" i="23" s="1"/>
  <c r="K3" i="16"/>
  <c r="J66" i="23" s="1"/>
  <c r="J3" i="16"/>
  <c r="I66" i="23" s="1"/>
  <c r="G24" i="2"/>
  <c r="K3" i="19"/>
  <c r="J68" i="23" s="1"/>
  <c r="J3" i="19"/>
  <c r="I68" i="23" s="1"/>
  <c r="I3" i="19"/>
  <c r="H68" i="23" s="1"/>
  <c r="G22" i="2"/>
  <c r="I3" i="17"/>
  <c r="H67" i="23" s="1"/>
  <c r="K3" i="17"/>
  <c r="J67" i="23" s="1"/>
  <c r="J3" i="17"/>
  <c r="I67" i="23" s="1"/>
  <c r="G31" i="2"/>
  <c r="K5" i="22"/>
  <c r="J5" i="22"/>
  <c r="I5" i="22"/>
  <c r="G23" i="2"/>
  <c r="I3" i="18"/>
  <c r="J3" i="18"/>
  <c r="K3" i="18"/>
  <c r="G28" i="2"/>
  <c r="I4" i="21"/>
  <c r="K4" i="21"/>
  <c r="J4" i="21"/>
  <c r="G13" i="2"/>
  <c r="K4" i="11"/>
  <c r="J4" i="11"/>
  <c r="I4" i="11"/>
  <c r="G30" i="2"/>
  <c r="K4" i="22"/>
  <c r="I4" i="22"/>
  <c r="G14" i="2"/>
  <c r="I5" i="11"/>
  <c r="K5" i="11"/>
  <c r="J5" i="11"/>
  <c r="G25" i="2"/>
  <c r="I3" i="20"/>
  <c r="H69" i="23" s="1"/>
  <c r="J3" i="20"/>
  <c r="I69" i="23" s="1"/>
  <c r="K3" i="20"/>
  <c r="J69" i="23" s="1"/>
  <c r="G41" i="26"/>
  <c r="I13" i="7"/>
  <c r="H41" i="26" s="1"/>
  <c r="K13" i="7"/>
  <c r="J13" i="7"/>
  <c r="I41" i="26" s="1"/>
  <c r="G55" i="26"/>
  <c r="I14" i="19"/>
  <c r="H55" i="26" s="1"/>
  <c r="G49" i="26"/>
  <c r="I12" i="6"/>
  <c r="K12" i="6"/>
  <c r="J12" i="6"/>
  <c r="K9" i="15"/>
  <c r="J9" i="15"/>
  <c r="I9" i="15"/>
  <c r="G33" i="25"/>
  <c r="K11" i="10"/>
  <c r="J11" i="10"/>
  <c r="I11" i="10"/>
  <c r="K15" i="9"/>
  <c r="I15" i="9"/>
  <c r="J15" i="9"/>
  <c r="K12" i="12"/>
  <c r="I12" i="12"/>
  <c r="G14" i="26"/>
  <c r="J12" i="12"/>
  <c r="K14" i="13"/>
  <c r="I14" i="13"/>
  <c r="J14" i="13"/>
  <c r="D22" i="25"/>
  <c r="E14" i="8"/>
  <c r="D42" i="26" s="1"/>
  <c r="D23" i="25"/>
  <c r="K18" i="9"/>
  <c r="I18" i="9"/>
  <c r="J18" i="9"/>
  <c r="F14" i="10"/>
  <c r="E44" i="26" s="1"/>
  <c r="E31" i="25"/>
  <c r="H52" i="25"/>
  <c r="K13" i="14"/>
  <c r="I13" i="14"/>
  <c r="J13" i="14"/>
  <c r="K10" i="16"/>
  <c r="J10" i="16"/>
  <c r="I10" i="16"/>
  <c r="I9" i="17"/>
  <c r="K9" i="17"/>
  <c r="J9" i="17"/>
  <c r="K10" i="18"/>
  <c r="J10" i="18"/>
  <c r="I10" i="18"/>
  <c r="G21" i="26"/>
  <c r="K13" i="18"/>
  <c r="J13" i="18"/>
  <c r="I13" i="18"/>
  <c r="K10" i="19"/>
  <c r="J10" i="19"/>
  <c r="I10" i="19"/>
  <c r="K11" i="22"/>
  <c r="J11" i="22"/>
  <c r="I11" i="22"/>
  <c r="I10" i="6"/>
  <c r="G17" i="25"/>
  <c r="H17" i="25" s="1"/>
  <c r="J10" i="6"/>
  <c r="K10" i="6"/>
  <c r="E22" i="25"/>
  <c r="F14" i="8"/>
  <c r="E42" i="26" s="1"/>
  <c r="E23" i="25"/>
  <c r="F14" i="18"/>
  <c r="E54" i="26" s="1"/>
  <c r="K13" i="19"/>
  <c r="J13" i="19"/>
  <c r="I13" i="19"/>
  <c r="G22" i="26"/>
  <c r="K10" i="20"/>
  <c r="J10" i="20"/>
  <c r="I10" i="20"/>
  <c r="K7" i="16"/>
  <c r="J7" i="16"/>
  <c r="I7" i="16"/>
  <c r="H13" i="12"/>
  <c r="F22" i="25"/>
  <c r="I9" i="7"/>
  <c r="K9" i="7"/>
  <c r="G19" i="25"/>
  <c r="H19" i="25" s="1"/>
  <c r="J9" i="7"/>
  <c r="K9" i="10"/>
  <c r="I9" i="10"/>
  <c r="G31" i="25"/>
  <c r="H31" i="25" s="1"/>
  <c r="J9" i="10"/>
  <c r="K12" i="10"/>
  <c r="J12" i="10"/>
  <c r="I12" i="10"/>
  <c r="G34" i="25"/>
  <c r="H34" i="25" s="1"/>
  <c r="K17" i="11"/>
  <c r="I17" i="11"/>
  <c r="G38" i="25"/>
  <c r="H38" i="25" s="1"/>
  <c r="J17" i="11"/>
  <c r="F20" i="11"/>
  <c r="E46" i="26" s="1"/>
  <c r="E45" i="26" s="1"/>
  <c r="E13" i="26"/>
  <c r="E12" i="26" s="1"/>
  <c r="K7" i="15"/>
  <c r="I7" i="15"/>
  <c r="I55" i="25"/>
  <c r="J7" i="15"/>
  <c r="K10" i="15"/>
  <c r="J10" i="15"/>
  <c r="I10" i="15"/>
  <c r="G18" i="26"/>
  <c r="K8" i="16"/>
  <c r="J8" i="16"/>
  <c r="I8" i="16"/>
  <c r="I14" i="21"/>
  <c r="K14" i="21"/>
  <c r="J14" i="21"/>
  <c r="H13" i="6"/>
  <c r="K11" i="8"/>
  <c r="J11" i="8"/>
  <c r="I11" i="8"/>
  <c r="G25" i="25"/>
  <c r="H25" i="25" s="1"/>
  <c r="H14" i="8"/>
  <c r="K9" i="8"/>
  <c r="I9" i="8"/>
  <c r="G23" i="25"/>
  <c r="H23" i="25" s="1"/>
  <c r="J9" i="8"/>
  <c r="H29" i="25"/>
  <c r="I16" i="9"/>
  <c r="K16" i="9"/>
  <c r="J16" i="9"/>
  <c r="F19" i="9"/>
  <c r="G43" i="25"/>
  <c r="H43" i="25" s="1"/>
  <c r="K11" i="12"/>
  <c r="I11" i="12"/>
  <c r="J11" i="12"/>
  <c r="K8" i="12"/>
  <c r="I8" i="12"/>
  <c r="G40" i="25"/>
  <c r="H40" i="25" s="1"/>
  <c r="J8" i="12"/>
  <c r="F11" i="15"/>
  <c r="E51" i="26" s="1"/>
  <c r="K15" i="13"/>
  <c r="J15" i="13"/>
  <c r="I15" i="13"/>
  <c r="E12" i="16"/>
  <c r="D52" i="26" s="1"/>
  <c r="D19" i="26"/>
  <c r="D15" i="26" s="1"/>
  <c r="E14" i="19"/>
  <c r="D55" i="26" s="1"/>
  <c r="F17" i="21"/>
  <c r="E58" i="26" s="1"/>
  <c r="E57" i="26" s="1"/>
  <c r="E25" i="26"/>
  <c r="E24" i="26" s="1"/>
  <c r="K12" i="20"/>
  <c r="J12" i="20"/>
  <c r="I12" i="20"/>
  <c r="H15" i="20"/>
  <c r="K14" i="22"/>
  <c r="J14" i="22"/>
  <c r="I14" i="22"/>
  <c r="G26" i="26"/>
  <c r="K14" i="20"/>
  <c r="J14" i="20"/>
  <c r="I14" i="20"/>
  <c r="G23" i="26"/>
  <c r="K15" i="4"/>
  <c r="I15" i="4"/>
  <c r="J15" i="4"/>
  <c r="H9" i="25"/>
  <c r="K12" i="7"/>
  <c r="I12" i="7"/>
  <c r="G22" i="25"/>
  <c r="J12" i="7"/>
  <c r="I12" i="8"/>
  <c r="G26" i="25"/>
  <c r="H26" i="25" s="1"/>
  <c r="K12" i="8"/>
  <c r="J12" i="8"/>
  <c r="K13" i="5"/>
  <c r="J13" i="5"/>
  <c r="I13" i="5"/>
  <c r="H12" i="25"/>
  <c r="G19" i="9"/>
  <c r="H20" i="11"/>
  <c r="G13" i="26"/>
  <c r="G12" i="26" s="1"/>
  <c r="I19" i="11"/>
  <c r="K19" i="11"/>
  <c r="J19" i="11"/>
  <c r="G11" i="15"/>
  <c r="F51" i="26" s="1"/>
  <c r="K11" i="14"/>
  <c r="J11" i="14"/>
  <c r="I11" i="14"/>
  <c r="I14" i="14"/>
  <c r="K14" i="14"/>
  <c r="J14" i="14"/>
  <c r="E18" i="13"/>
  <c r="D49" i="26" s="1"/>
  <c r="F12" i="16"/>
  <c r="E52" i="26" s="1"/>
  <c r="E19" i="26"/>
  <c r="E15" i="26" s="1"/>
  <c r="K7" i="17"/>
  <c r="J7" i="17"/>
  <c r="I7" i="17"/>
  <c r="K10" i="17"/>
  <c r="J10" i="17"/>
  <c r="I10" i="17"/>
  <c r="K11" i="18"/>
  <c r="I11" i="18"/>
  <c r="J11" i="18"/>
  <c r="K11" i="19"/>
  <c r="J11" i="19"/>
  <c r="I11" i="19"/>
  <c r="K12" i="21"/>
  <c r="J12" i="21"/>
  <c r="I12" i="21"/>
  <c r="G15" i="22"/>
  <c r="F59" i="26" s="1"/>
  <c r="F57" i="26" s="1"/>
  <c r="F26" i="26"/>
  <c r="F24" i="26" s="1"/>
  <c r="K8" i="7"/>
  <c r="I8" i="7"/>
  <c r="J8" i="7"/>
  <c r="E14" i="10"/>
  <c r="D44" i="26" s="1"/>
  <c r="D31" i="25"/>
  <c r="H13" i="25"/>
  <c r="I14" i="5"/>
  <c r="K14" i="5"/>
  <c r="J14" i="5"/>
  <c r="H10" i="25"/>
  <c r="K16" i="4"/>
  <c r="J16" i="4"/>
  <c r="I16" i="4"/>
  <c r="K17" i="5"/>
  <c r="J17" i="5"/>
  <c r="I17" i="5"/>
  <c r="H4" i="25"/>
  <c r="E13" i="3"/>
  <c r="D37" i="26" s="1"/>
  <c r="E18" i="5"/>
  <c r="D39" i="26" s="1"/>
  <c r="I8" i="6"/>
  <c r="K8" i="6"/>
  <c r="J8" i="6"/>
  <c r="G15" i="25"/>
  <c r="H15" i="25" s="1"/>
  <c r="K11" i="6"/>
  <c r="I11" i="6"/>
  <c r="G18" i="25"/>
  <c r="H18" i="25" s="1"/>
  <c r="J11" i="6"/>
  <c r="H19" i="9"/>
  <c r="G14" i="10"/>
  <c r="F44" i="26" s="1"/>
  <c r="E20" i="11"/>
  <c r="D46" i="26" s="1"/>
  <c r="D45" i="26" s="1"/>
  <c r="D19" i="4"/>
  <c r="G12" i="16"/>
  <c r="F52" i="26" s="1"/>
  <c r="F19" i="26"/>
  <c r="F15" i="26" s="1"/>
  <c r="E14" i="18"/>
  <c r="D54" i="26" s="1"/>
  <c r="K16" i="21"/>
  <c r="J16" i="21"/>
  <c r="I16" i="21"/>
  <c r="G25" i="26"/>
  <c r="I11" i="20"/>
  <c r="K11" i="20"/>
  <c r="J11" i="20"/>
  <c r="K12" i="22"/>
  <c r="J12" i="22"/>
  <c r="I12" i="22"/>
  <c r="F13" i="3"/>
  <c r="E37" i="26" s="1"/>
  <c r="K15" i="5"/>
  <c r="I15" i="5"/>
  <c r="J15" i="5"/>
  <c r="G20" i="25"/>
  <c r="H20" i="25" s="1"/>
  <c r="K10" i="7"/>
  <c r="J10" i="7"/>
  <c r="I10" i="7"/>
  <c r="K10" i="10"/>
  <c r="I10" i="10"/>
  <c r="G32" i="25"/>
  <c r="J10" i="10"/>
  <c r="K13" i="10"/>
  <c r="I13" i="10"/>
  <c r="J13" i="10"/>
  <c r="G36" i="25"/>
  <c r="K15" i="11"/>
  <c r="I15" i="11"/>
  <c r="J15" i="11"/>
  <c r="K18" i="11"/>
  <c r="I18" i="11"/>
  <c r="G39" i="25"/>
  <c r="H39" i="25" s="1"/>
  <c r="J18" i="11"/>
  <c r="G20" i="11"/>
  <c r="F46" i="26" s="1"/>
  <c r="F45" i="26" s="1"/>
  <c r="E19" i="4"/>
  <c r="D38" i="26" s="1"/>
  <c r="I8" i="15"/>
  <c r="K8" i="15"/>
  <c r="J8" i="15"/>
  <c r="G18" i="13"/>
  <c r="F49" i="26" s="1"/>
  <c r="H12" i="16"/>
  <c r="K11" i="16"/>
  <c r="I11" i="16"/>
  <c r="J11" i="16"/>
  <c r="G19" i="26"/>
  <c r="I11" i="7"/>
  <c r="K11" i="7"/>
  <c r="J11" i="7"/>
  <c r="G21" i="25"/>
  <c r="H21" i="25" s="1"/>
  <c r="K9" i="12"/>
  <c r="J9" i="12"/>
  <c r="G41" i="25"/>
  <c r="H41" i="25" s="1"/>
  <c r="I9" i="12"/>
  <c r="K17" i="13"/>
  <c r="G16" i="26"/>
  <c r="I17" i="13"/>
  <c r="J17" i="13"/>
  <c r="H5" i="25"/>
  <c r="F18" i="5"/>
  <c r="E39" i="26" s="1"/>
  <c r="H6" i="25"/>
  <c r="G13" i="3"/>
  <c r="I14" i="4"/>
  <c r="H8" i="25"/>
  <c r="K14" i="4"/>
  <c r="J14" i="4"/>
  <c r="K17" i="4"/>
  <c r="J17" i="4"/>
  <c r="I17" i="4"/>
  <c r="H11" i="25"/>
  <c r="G18" i="5"/>
  <c r="F39" i="26" s="1"/>
  <c r="E13" i="6"/>
  <c r="D40" i="26" s="1"/>
  <c r="K10" i="8"/>
  <c r="J10" i="8"/>
  <c r="I10" i="8"/>
  <c r="G24" i="25"/>
  <c r="H24" i="25" s="1"/>
  <c r="K13" i="8"/>
  <c r="I13" i="8"/>
  <c r="J13" i="8"/>
  <c r="K14" i="9"/>
  <c r="I14" i="9"/>
  <c r="J14" i="9"/>
  <c r="H27" i="25"/>
  <c r="K17" i="9"/>
  <c r="J17" i="9"/>
  <c r="I17" i="9"/>
  <c r="H14" i="10"/>
  <c r="K10" i="12"/>
  <c r="G42" i="25"/>
  <c r="H42" i="25" s="1"/>
  <c r="J10" i="12"/>
  <c r="I10" i="12"/>
  <c r="F19" i="4"/>
  <c r="E38" i="26" s="1"/>
  <c r="E11" i="15"/>
  <c r="D51" i="26" s="1"/>
  <c r="I57" i="25"/>
  <c r="K13" i="13"/>
  <c r="I13" i="13"/>
  <c r="J13" i="13"/>
  <c r="K16" i="13"/>
  <c r="I16" i="13"/>
  <c r="J16" i="13"/>
  <c r="K9" i="16"/>
  <c r="J9" i="16"/>
  <c r="I9" i="16"/>
  <c r="G14" i="18"/>
  <c r="F54" i="26" s="1"/>
  <c r="K15" i="21"/>
  <c r="J15" i="21"/>
  <c r="I15" i="21"/>
  <c r="I16" i="5"/>
  <c r="K16" i="5"/>
  <c r="J16" i="5"/>
  <c r="G37" i="25"/>
  <c r="H37" i="25" s="1"/>
  <c r="K16" i="11"/>
  <c r="J16" i="11"/>
  <c r="I16" i="11"/>
  <c r="K13" i="22"/>
  <c r="J13" i="22"/>
  <c r="I13" i="22"/>
  <c r="G19" i="4"/>
  <c r="F38" i="26" s="1"/>
  <c r="G17" i="26"/>
  <c r="K15" i="14"/>
  <c r="J15" i="14"/>
  <c r="I15" i="14"/>
  <c r="K8" i="17"/>
  <c r="J8" i="17"/>
  <c r="I8" i="17"/>
  <c r="G20" i="26"/>
  <c r="K11" i="17"/>
  <c r="J11" i="17"/>
  <c r="I11" i="17"/>
  <c r="H14" i="18"/>
  <c r="K9" i="18"/>
  <c r="J9" i="18"/>
  <c r="I9" i="18"/>
  <c r="K12" i="18"/>
  <c r="J12" i="18"/>
  <c r="I12" i="18"/>
  <c r="K9" i="19"/>
  <c r="J9" i="19"/>
  <c r="I9" i="19"/>
  <c r="K12" i="19"/>
  <c r="J12" i="19"/>
  <c r="I12" i="19"/>
  <c r="K13" i="20"/>
  <c r="J13" i="20"/>
  <c r="I13" i="20"/>
  <c r="K10" i="22"/>
  <c r="J10" i="22"/>
  <c r="I10" i="22"/>
  <c r="H11" i="15"/>
  <c r="K6" i="15"/>
  <c r="J6" i="15"/>
  <c r="I6" i="15"/>
  <c r="J54" i="25"/>
  <c r="G39" i="26"/>
  <c r="F13" i="6"/>
  <c r="E40" i="26" s="1"/>
  <c r="H51" i="25"/>
  <c r="K12" i="14"/>
  <c r="I12" i="14"/>
  <c r="J12" i="14"/>
  <c r="D13" i="6"/>
  <c r="K9" i="6"/>
  <c r="J9" i="6"/>
  <c r="I9" i="6"/>
  <c r="G16" i="25"/>
  <c r="H16" i="25" s="1"/>
  <c r="F13" i="12"/>
  <c r="E47" i="26" s="1"/>
  <c r="H19" i="4"/>
  <c r="I18" i="4"/>
  <c r="K18" i="4"/>
  <c r="J18" i="4"/>
  <c r="K13" i="21"/>
  <c r="J13" i="21"/>
  <c r="I13" i="21"/>
  <c r="F16" i="14"/>
  <c r="E50" i="26" s="1"/>
  <c r="G16" i="14"/>
  <c r="F50" i="26" s="1"/>
  <c r="H16" i="14"/>
  <c r="H53" i="25"/>
  <c r="E16" i="14"/>
  <c r="D50" i="26" s="1"/>
  <c r="E3" i="21"/>
  <c r="F3" i="21"/>
  <c r="E29" i="2"/>
  <c r="G3" i="21"/>
  <c r="F29" i="2"/>
  <c r="G15" i="2"/>
  <c r="D3" i="21"/>
  <c r="C28" i="2"/>
  <c r="C27" i="2" s="1"/>
  <c r="E13" i="2"/>
  <c r="E12" i="2" s="1"/>
  <c r="C17" i="2"/>
  <c r="F3" i="22"/>
  <c r="E31" i="2"/>
  <c r="F30" i="2"/>
  <c r="H15" i="22"/>
  <c r="E15" i="22"/>
  <c r="D59" i="26" s="1"/>
  <c r="D57" i="26" s="1"/>
  <c r="E3" i="22"/>
  <c r="H3" i="21"/>
  <c r="E12" i="17"/>
  <c r="D53" i="26" s="1"/>
  <c r="F12" i="17"/>
  <c r="E53" i="26" s="1"/>
  <c r="G12" i="17"/>
  <c r="F53" i="26" s="1"/>
  <c r="H12" i="17"/>
  <c r="H22" i="25" l="1"/>
  <c r="I17" i="21"/>
  <c r="H58" i="26" s="1"/>
  <c r="F17" i="2"/>
  <c r="E17" i="2"/>
  <c r="G58" i="26"/>
  <c r="E87" i="25"/>
  <c r="G78" i="25"/>
  <c r="H78" i="25" s="1"/>
  <c r="H79" i="25"/>
  <c r="F87" i="25"/>
  <c r="I18" i="5"/>
  <c r="H39" i="26" s="1"/>
  <c r="I18" i="13"/>
  <c r="G24" i="26"/>
  <c r="J17" i="21"/>
  <c r="I58" i="26" s="1"/>
  <c r="K17" i="21"/>
  <c r="J58" i="26" s="1"/>
  <c r="G15" i="26"/>
  <c r="J18" i="5"/>
  <c r="I39" i="26" s="1"/>
  <c r="K18" i="5"/>
  <c r="J39" i="26" s="1"/>
  <c r="H15" i="2"/>
  <c r="J15" i="2"/>
  <c r="J28" i="2"/>
  <c r="I28" i="2"/>
  <c r="H28" i="2"/>
  <c r="J22" i="2"/>
  <c r="I22" i="2"/>
  <c r="H22" i="2"/>
  <c r="H20" i="2"/>
  <c r="J20" i="2"/>
  <c r="I20" i="2"/>
  <c r="J29" i="2"/>
  <c r="I29" i="2"/>
  <c r="H29" i="2"/>
  <c r="K3" i="11"/>
  <c r="I3" i="11"/>
  <c r="G17" i="2"/>
  <c r="H23" i="2"/>
  <c r="I23" i="2"/>
  <c r="J23" i="2"/>
  <c r="I24" i="2"/>
  <c r="H24" i="2"/>
  <c r="J24" i="2"/>
  <c r="I16" i="2"/>
  <c r="J16" i="2"/>
  <c r="H16" i="2"/>
  <c r="K3" i="21"/>
  <c r="J3" i="21"/>
  <c r="I3" i="21"/>
  <c r="E27" i="2"/>
  <c r="H19" i="2"/>
  <c r="J19" i="2"/>
  <c r="I19" i="2"/>
  <c r="G27" i="2"/>
  <c r="J30" i="2"/>
  <c r="H30" i="2"/>
  <c r="I3" i="22"/>
  <c r="K3" i="22"/>
  <c r="J25" i="2"/>
  <c r="I25" i="2"/>
  <c r="H25" i="2"/>
  <c r="J13" i="2"/>
  <c r="H13" i="2"/>
  <c r="H31" i="2"/>
  <c r="J31" i="2"/>
  <c r="I31" i="2"/>
  <c r="J21" i="2"/>
  <c r="I21" i="2"/>
  <c r="H21" i="2"/>
  <c r="J18" i="2"/>
  <c r="I18" i="2"/>
  <c r="H18" i="2"/>
  <c r="J14" i="2"/>
  <c r="I14" i="2"/>
  <c r="H14" i="2"/>
  <c r="K14" i="8"/>
  <c r="J42" i="26" s="1"/>
  <c r="I14" i="8"/>
  <c r="H42" i="26" s="1"/>
  <c r="J14" i="8"/>
  <c r="I42" i="26" s="1"/>
  <c r="G42" i="26"/>
  <c r="K11" i="15"/>
  <c r="J51" i="26" s="1"/>
  <c r="G51" i="26"/>
  <c r="J11" i="15"/>
  <c r="I51" i="26" s="1"/>
  <c r="I11" i="15"/>
  <c r="J18" i="13"/>
  <c r="I49" i="26" s="1"/>
  <c r="G50" i="26"/>
  <c r="K16" i="14"/>
  <c r="J16" i="14"/>
  <c r="I50" i="26" s="1"/>
  <c r="I16" i="14"/>
  <c r="H50" i="26" s="1"/>
  <c r="G54" i="26"/>
  <c r="K14" i="18"/>
  <c r="J54" i="26" s="1"/>
  <c r="J14" i="18"/>
  <c r="I54" i="26" s="1"/>
  <c r="I14" i="18"/>
  <c r="H54" i="26" s="1"/>
  <c r="H47" i="25"/>
  <c r="H33" i="25"/>
  <c r="J33" i="25"/>
  <c r="I33" i="25"/>
  <c r="K18" i="13"/>
  <c r="G47" i="26"/>
  <c r="I13" i="12"/>
  <c r="H47" i="26" s="1"/>
  <c r="K13" i="12"/>
  <c r="J47" i="26" s="1"/>
  <c r="J13" i="12"/>
  <c r="I47" i="26" s="1"/>
  <c r="H57" i="25"/>
  <c r="J57" i="25"/>
  <c r="H46" i="25"/>
  <c r="H56" i="25"/>
  <c r="J56" i="25"/>
  <c r="I56" i="25"/>
  <c r="G56" i="26"/>
  <c r="K15" i="20"/>
  <c r="J56" i="26" s="1"/>
  <c r="J15" i="20"/>
  <c r="I56" i="26" s="1"/>
  <c r="I15" i="20"/>
  <c r="H56" i="26" s="1"/>
  <c r="K13" i="6"/>
  <c r="J40" i="26" s="1"/>
  <c r="J13" i="6"/>
  <c r="I40" i="26" s="1"/>
  <c r="I13" i="6"/>
  <c r="G40" i="26"/>
  <c r="J55" i="25"/>
  <c r="H55" i="25"/>
  <c r="J14" i="19"/>
  <c r="I55" i="26" s="1"/>
  <c r="K14" i="19"/>
  <c r="J55" i="26" s="1"/>
  <c r="K14" i="10"/>
  <c r="J44" i="26" s="1"/>
  <c r="I14" i="10"/>
  <c r="H44" i="26" s="1"/>
  <c r="G44" i="26"/>
  <c r="J14" i="10"/>
  <c r="I44" i="26" s="1"/>
  <c r="G46" i="26"/>
  <c r="G45" i="26" s="1"/>
  <c r="K20" i="11"/>
  <c r="J46" i="26" s="1"/>
  <c r="J20" i="11"/>
  <c r="I46" i="26" s="1"/>
  <c r="I20" i="11"/>
  <c r="H46" i="26" s="1"/>
  <c r="I34" i="25"/>
  <c r="J34" i="25"/>
  <c r="F48" i="26"/>
  <c r="E48" i="26"/>
  <c r="G59" i="26"/>
  <c r="G57" i="26" s="1"/>
  <c r="K15" i="22"/>
  <c r="J59" i="26" s="1"/>
  <c r="J15" i="22"/>
  <c r="I59" i="26" s="1"/>
  <c r="I15" i="22"/>
  <c r="H59" i="26" s="1"/>
  <c r="G35" i="25"/>
  <c r="H35" i="25" s="1"/>
  <c r="H36" i="25"/>
  <c r="K12" i="16"/>
  <c r="J52" i="26" s="1"/>
  <c r="J12" i="16"/>
  <c r="I52" i="26" s="1"/>
  <c r="I12" i="16"/>
  <c r="H52" i="26" s="1"/>
  <c r="G52" i="26"/>
  <c r="H32" i="25"/>
  <c r="J32" i="25"/>
  <c r="I32" i="25"/>
  <c r="K19" i="4"/>
  <c r="J38" i="26" s="1"/>
  <c r="I19" i="4"/>
  <c r="G38" i="26"/>
  <c r="J19" i="4"/>
  <c r="I38" i="26" s="1"/>
  <c r="H48" i="25"/>
  <c r="K12" i="17"/>
  <c r="J53" i="26" s="1"/>
  <c r="J12" i="17"/>
  <c r="I53" i="26" s="1"/>
  <c r="I12" i="17"/>
  <c r="H53" i="26" s="1"/>
  <c r="G53" i="26"/>
  <c r="I54" i="25"/>
  <c r="H54" i="25"/>
  <c r="D48" i="26"/>
  <c r="H49" i="25"/>
  <c r="K19" i="9"/>
  <c r="I19" i="9"/>
  <c r="H43" i="26" s="1"/>
  <c r="J19" i="9"/>
  <c r="H3" i="25"/>
  <c r="H50" i="25"/>
  <c r="F27" i="2"/>
  <c r="C31" i="25"/>
  <c r="C59" i="26"/>
  <c r="C58" i="26"/>
  <c r="C56" i="26"/>
  <c r="C55" i="26"/>
  <c r="C54" i="26"/>
  <c r="C53" i="26"/>
  <c r="C52" i="26"/>
  <c r="C50" i="26"/>
  <c r="C49" i="26"/>
  <c r="C47" i="26"/>
  <c r="C46" i="26"/>
  <c r="C20" i="26"/>
  <c r="C86" i="25"/>
  <c r="C85" i="25"/>
  <c r="C84" i="25"/>
  <c r="C83" i="25"/>
  <c r="C82" i="25"/>
  <c r="C81" i="25"/>
  <c r="C80" i="25"/>
  <c r="C79" i="25"/>
  <c r="C77" i="25"/>
  <c r="C76" i="25"/>
  <c r="C75" i="25"/>
  <c r="C74" i="25"/>
  <c r="C73" i="25"/>
  <c r="C72" i="25"/>
  <c r="C71" i="25"/>
  <c r="C70" i="25"/>
  <c r="C69" i="25"/>
  <c r="C68" i="25"/>
  <c r="C67" i="25"/>
  <c r="C66" i="25"/>
  <c r="C65" i="25"/>
  <c r="C64" i="25"/>
  <c r="C63" i="25"/>
  <c r="C62" i="25"/>
  <c r="C61" i="25"/>
  <c r="C60" i="25"/>
  <c r="C59" i="25"/>
  <c r="C58" i="25"/>
  <c r="C53" i="25"/>
  <c r="C52" i="25"/>
  <c r="C51" i="25"/>
  <c r="C50" i="25"/>
  <c r="J50" i="25" s="1"/>
  <c r="C49" i="25"/>
  <c r="J49" i="25" s="1"/>
  <c r="C48" i="25"/>
  <c r="J48" i="25" s="1"/>
  <c r="C47" i="25"/>
  <c r="I47" i="25" s="1"/>
  <c r="C46" i="25"/>
  <c r="I46" i="25" s="1"/>
  <c r="C43" i="25"/>
  <c r="C42" i="25"/>
  <c r="C41" i="25"/>
  <c r="C40" i="25"/>
  <c r="C39" i="25"/>
  <c r="C38" i="25"/>
  <c r="C37" i="25"/>
  <c r="C36" i="25"/>
  <c r="C26" i="25"/>
  <c r="C25" i="25"/>
  <c r="C24" i="25"/>
  <c r="C23" i="25"/>
  <c r="C22" i="25"/>
  <c r="C21" i="25"/>
  <c r="C20" i="25"/>
  <c r="C19" i="25"/>
  <c r="C18" i="25"/>
  <c r="C17" i="25"/>
  <c r="C16" i="25"/>
  <c r="C15" i="25"/>
  <c r="C7" i="25"/>
  <c r="C6" i="25"/>
  <c r="C5" i="25"/>
  <c r="C17" i="24"/>
  <c r="C70" i="23"/>
  <c r="C69" i="23"/>
  <c r="C68" i="23"/>
  <c r="C67" i="23"/>
  <c r="C66" i="23"/>
  <c r="C65" i="23"/>
  <c r="C64" i="23"/>
  <c r="C63" i="23"/>
  <c r="C62" i="23"/>
  <c r="C54" i="23"/>
  <c r="C26" i="26"/>
  <c r="C25" i="26"/>
  <c r="C23" i="26"/>
  <c r="C22" i="26"/>
  <c r="C21" i="26"/>
  <c r="C19" i="26"/>
  <c r="C17" i="26"/>
  <c r="C16" i="26"/>
  <c r="C14" i="26"/>
  <c r="C13" i="26"/>
  <c r="C11" i="26"/>
  <c r="C9" i="26"/>
  <c r="C8" i="26"/>
  <c r="C7" i="26"/>
  <c r="C4" i="26"/>
  <c r="C40" i="26"/>
  <c r="C37" i="26"/>
  <c r="J79" i="25" l="1"/>
  <c r="I79" i="25"/>
  <c r="J68" i="25"/>
  <c r="I68" i="25"/>
  <c r="I81" i="25"/>
  <c r="J81" i="25"/>
  <c r="J69" i="25"/>
  <c r="I69" i="25"/>
  <c r="J82" i="25"/>
  <c r="I82" i="25"/>
  <c r="I58" i="25"/>
  <c r="J58" i="25"/>
  <c r="J70" i="25"/>
  <c r="I70" i="25"/>
  <c r="J83" i="25"/>
  <c r="I83" i="25"/>
  <c r="I80" i="25"/>
  <c r="J80" i="25"/>
  <c r="J60" i="25"/>
  <c r="I60" i="25"/>
  <c r="J72" i="25"/>
  <c r="I72" i="25"/>
  <c r="J85" i="25"/>
  <c r="I85" i="25"/>
  <c r="J71" i="25"/>
  <c r="I71" i="25"/>
  <c r="I61" i="25"/>
  <c r="J61" i="25"/>
  <c r="I73" i="25"/>
  <c r="J73" i="25"/>
  <c r="I86" i="25"/>
  <c r="J86" i="25"/>
  <c r="J67" i="25"/>
  <c r="I67" i="25"/>
  <c r="J63" i="25"/>
  <c r="I63" i="25"/>
  <c r="I75" i="25"/>
  <c r="J75" i="25"/>
  <c r="J64" i="25"/>
  <c r="I64" i="25"/>
  <c r="J76" i="25"/>
  <c r="I76" i="25"/>
  <c r="J59" i="25"/>
  <c r="I59" i="25"/>
  <c r="J84" i="25"/>
  <c r="I84" i="25"/>
  <c r="J62" i="25"/>
  <c r="I62" i="25"/>
  <c r="I65" i="25"/>
  <c r="J65" i="25"/>
  <c r="I77" i="25"/>
  <c r="J77" i="25"/>
  <c r="I74" i="25"/>
  <c r="J74" i="25"/>
  <c r="J66" i="25"/>
  <c r="I66" i="25"/>
  <c r="H45" i="25"/>
  <c r="G87" i="25"/>
  <c r="I48" i="25"/>
  <c r="J47" i="25"/>
  <c r="H27" i="2"/>
  <c r="J27" i="2"/>
  <c r="I12" i="2"/>
  <c r="J12" i="2"/>
  <c r="H12" i="2"/>
  <c r="J17" i="2"/>
  <c r="I17" i="2"/>
  <c r="H17" i="2"/>
  <c r="I49" i="25"/>
  <c r="J46" i="25"/>
  <c r="G48" i="26"/>
  <c r="I50" i="25"/>
  <c r="I53" i="25"/>
  <c r="J53" i="25"/>
  <c r="I51" i="25"/>
  <c r="J51" i="25"/>
  <c r="I52" i="25"/>
  <c r="J52" i="25"/>
  <c r="C35" i="25"/>
  <c r="J36" i="25"/>
  <c r="I36" i="25"/>
  <c r="J9" i="25"/>
  <c r="I9" i="25"/>
  <c r="J21" i="25"/>
  <c r="I21" i="25"/>
  <c r="I18" i="25"/>
  <c r="J18" i="25"/>
  <c r="J20" i="25"/>
  <c r="I20" i="25"/>
  <c r="I11" i="25"/>
  <c r="J11" i="25"/>
  <c r="I22" i="25"/>
  <c r="J22" i="25"/>
  <c r="I39" i="25"/>
  <c r="J39" i="25"/>
  <c r="J38" i="25"/>
  <c r="I38" i="25"/>
  <c r="I40" i="25"/>
  <c r="J40" i="25"/>
  <c r="I8" i="25"/>
  <c r="J8" i="25"/>
  <c r="I41" i="25"/>
  <c r="J41" i="25"/>
  <c r="I19" i="25"/>
  <c r="J19" i="25"/>
  <c r="J12" i="25"/>
  <c r="I12" i="25"/>
  <c r="I23" i="25"/>
  <c r="J23" i="25"/>
  <c r="I13" i="25"/>
  <c r="J13" i="25"/>
  <c r="I24" i="25"/>
  <c r="J24" i="25"/>
  <c r="I14" i="25"/>
  <c r="J25" i="25"/>
  <c r="I25" i="25"/>
  <c r="J42" i="25"/>
  <c r="I42" i="25"/>
  <c r="J7" i="25"/>
  <c r="I7" i="25"/>
  <c r="I43" i="25"/>
  <c r="J43" i="25"/>
  <c r="J10" i="25"/>
  <c r="I10" i="25"/>
  <c r="J26" i="25"/>
  <c r="I26" i="25"/>
  <c r="I15" i="25"/>
  <c r="J15" i="25"/>
  <c r="J27" i="25"/>
  <c r="I27" i="25"/>
  <c r="I30" i="25"/>
  <c r="J30" i="25"/>
  <c r="J37" i="25"/>
  <c r="I37" i="25"/>
  <c r="J5" i="25"/>
  <c r="I5" i="25"/>
  <c r="J16" i="25"/>
  <c r="I16" i="25"/>
  <c r="J31" i="25"/>
  <c r="I31" i="25"/>
  <c r="J6" i="25"/>
  <c r="I6" i="25"/>
  <c r="I17" i="25"/>
  <c r="J17" i="25"/>
  <c r="I29" i="25"/>
  <c r="J29" i="25"/>
  <c r="G35" i="26"/>
  <c r="F35" i="26"/>
  <c r="E35" i="26"/>
  <c r="D35" i="26"/>
  <c r="C35" i="26"/>
  <c r="H87" i="25" l="1"/>
  <c r="I35" i="25"/>
  <c r="J35" i="25"/>
  <c r="C19" i="23"/>
  <c r="A86" i="25"/>
  <c r="A85" i="25"/>
  <c r="A84" i="25"/>
  <c r="A82" i="25"/>
  <c r="A81" i="25"/>
  <c r="A80" i="25"/>
  <c r="A77" i="25"/>
  <c r="A76" i="25"/>
  <c r="A75" i="25"/>
  <c r="A73" i="25"/>
  <c r="A72" i="25"/>
  <c r="A71" i="25"/>
  <c r="A69" i="25"/>
  <c r="A68" i="25"/>
  <c r="A67" i="25"/>
  <c r="A65" i="25"/>
  <c r="A64" i="25"/>
  <c r="A63" i="25"/>
  <c r="A61" i="25"/>
  <c r="A60" i="25"/>
  <c r="A59" i="25"/>
  <c r="A53" i="25"/>
  <c r="A52" i="25"/>
  <c r="A51" i="25"/>
  <c r="A49" i="25"/>
  <c r="A48" i="25"/>
  <c r="A47" i="25"/>
  <c r="A43" i="25"/>
  <c r="A42" i="25"/>
  <c r="A41" i="25"/>
  <c r="A39" i="25"/>
  <c r="A38" i="25"/>
  <c r="A37" i="25"/>
  <c r="A34" i="25"/>
  <c r="A33" i="25"/>
  <c r="A32" i="25"/>
  <c r="A26" i="25"/>
  <c r="A25" i="25"/>
  <c r="A24" i="25"/>
  <c r="A22" i="25"/>
  <c r="A21" i="25"/>
  <c r="A20" i="25"/>
  <c r="A18" i="25"/>
  <c r="A17" i="25"/>
  <c r="A16" i="25"/>
  <c r="A7" i="25"/>
  <c r="A6" i="25"/>
  <c r="A5" i="25"/>
  <c r="G2" i="25"/>
  <c r="F2" i="25"/>
  <c r="E2" i="25"/>
  <c r="D2" i="25"/>
  <c r="C2" i="25"/>
  <c r="C50" i="23"/>
  <c r="C26" i="23" l="1"/>
  <c r="C32" i="23"/>
  <c r="C30" i="23"/>
  <c r="D29" i="23"/>
  <c r="D28" i="23"/>
  <c r="I28" i="23" s="1"/>
  <c r="C29" i="24"/>
  <c r="C26" i="24"/>
  <c r="C25" i="24"/>
  <c r="C24" i="24"/>
  <c r="C23" i="24"/>
  <c r="C22" i="24"/>
  <c r="C21" i="24"/>
  <c r="C20" i="24"/>
  <c r="C19" i="24"/>
  <c r="C18" i="24"/>
  <c r="C16" i="24"/>
  <c r="C28" i="24"/>
  <c r="G1" i="24"/>
  <c r="F1" i="24"/>
  <c r="E1" i="24"/>
  <c r="D1" i="24"/>
  <c r="C1" i="24"/>
  <c r="C14" i="24"/>
  <c r="C13" i="24"/>
  <c r="C12" i="24"/>
  <c r="C4" i="25"/>
  <c r="G2" i="26"/>
  <c r="F2" i="26"/>
  <c r="E2" i="26"/>
  <c r="D2" i="26"/>
  <c r="C2" i="26"/>
  <c r="B39" i="27"/>
  <c r="I4" i="25" l="1"/>
  <c r="J4" i="25"/>
  <c r="H5" i="10"/>
  <c r="G5" i="10"/>
  <c r="F5" i="10"/>
  <c r="E5" i="10"/>
  <c r="D5" i="10"/>
  <c r="J60" i="26"/>
  <c r="C57" i="26"/>
  <c r="C45" i="26"/>
  <c r="B59" i="27"/>
  <c r="B58" i="27"/>
  <c r="B57" i="27"/>
  <c r="B55" i="27"/>
  <c r="B54" i="27"/>
  <c r="B52" i="27"/>
  <c r="B51" i="27"/>
  <c r="B50" i="27"/>
  <c r="B49" i="27"/>
  <c r="B48" i="27"/>
  <c r="B47" i="27"/>
  <c r="B46" i="27"/>
  <c r="B45" i="27"/>
  <c r="B44" i="27"/>
  <c r="B43" i="27"/>
  <c r="B41" i="27"/>
  <c r="B40" i="27"/>
  <c r="B37" i="27"/>
  <c r="B36" i="27"/>
  <c r="B35" i="27"/>
  <c r="B33" i="27"/>
  <c r="B31" i="27"/>
  <c r="B29" i="27"/>
  <c r="B28" i="27"/>
  <c r="B27" i="27"/>
  <c r="B26" i="27"/>
  <c r="B25" i="27"/>
  <c r="B24" i="27"/>
  <c r="B23" i="27"/>
  <c r="B22" i="27"/>
  <c r="B21" i="27"/>
  <c r="B20" i="27"/>
  <c r="G5" i="27"/>
  <c r="J30" i="24"/>
  <c r="H30" i="24"/>
  <c r="I29" i="24"/>
  <c r="H29" i="24"/>
  <c r="H28" i="24"/>
  <c r="I27" i="24"/>
  <c r="I15" i="24"/>
  <c r="I14" i="24"/>
  <c r="H14" i="24"/>
  <c r="H13" i="24"/>
  <c r="J12" i="24"/>
  <c r="I11" i="24"/>
  <c r="H30" i="23"/>
  <c r="H29" i="23"/>
  <c r="I27" i="23"/>
  <c r="I26" i="23"/>
  <c r="H26" i="23"/>
  <c r="H24" i="23"/>
  <c r="J23" i="23"/>
  <c r="H22" i="23"/>
  <c r="I20" i="23"/>
  <c r="H20" i="23"/>
  <c r="I18" i="23"/>
  <c r="H17" i="23"/>
  <c r="I16" i="23"/>
  <c r="J13" i="23"/>
  <c r="I12" i="23"/>
  <c r="H12" i="23"/>
  <c r="J12" i="23"/>
  <c r="I11" i="23"/>
  <c r="F41" i="23"/>
  <c r="E41" i="23"/>
  <c r="D41" i="23"/>
  <c r="C60" i="23"/>
  <c r="F7" i="24"/>
  <c r="E7" i="24"/>
  <c r="C7" i="24"/>
  <c r="F7" i="23"/>
  <c r="E7" i="23"/>
  <c r="D7" i="23"/>
  <c r="C7" i="23"/>
  <c r="G47" i="23"/>
  <c r="F47" i="23"/>
  <c r="E47" i="23"/>
  <c r="D47" i="23"/>
  <c r="C47" i="23"/>
  <c r="G2" i="13"/>
  <c r="F2" i="13"/>
  <c r="E2" i="13"/>
  <c r="D2" i="13"/>
  <c r="F8" i="24"/>
  <c r="E8" i="24"/>
  <c r="D8" i="24"/>
  <c r="C8" i="24"/>
  <c r="F8" i="23"/>
  <c r="E8" i="23"/>
  <c r="D8" i="23"/>
  <c r="C8" i="23"/>
  <c r="F48" i="23"/>
  <c r="E48" i="23"/>
  <c r="D48" i="23"/>
  <c r="C48" i="23"/>
  <c r="G48" i="23"/>
  <c r="C8" i="2"/>
  <c r="K5" i="10" l="1"/>
  <c r="J5" i="10"/>
  <c r="I5" i="10"/>
  <c r="G6" i="27"/>
  <c r="K8" i="10"/>
  <c r="J8" i="10"/>
  <c r="I8" i="10"/>
  <c r="J8" i="8"/>
  <c r="I8" i="8"/>
  <c r="K8" i="8"/>
  <c r="I7" i="8"/>
  <c r="K7" i="8"/>
  <c r="J7" i="8"/>
  <c r="G7" i="24"/>
  <c r="K7" i="7"/>
  <c r="J7" i="7"/>
  <c r="I7" i="7"/>
  <c r="K3" i="8"/>
  <c r="J3" i="8"/>
  <c r="I3" i="8"/>
  <c r="K6" i="8"/>
  <c r="J8" i="23" s="1"/>
  <c r="J6" i="8"/>
  <c r="I6" i="8"/>
  <c r="K4" i="8"/>
  <c r="J48" i="23" s="1"/>
  <c r="J4" i="8"/>
  <c r="I48" i="23" s="1"/>
  <c r="I4" i="8"/>
  <c r="H48" i="23" s="1"/>
  <c r="G7" i="23"/>
  <c r="K6" i="7"/>
  <c r="J7" i="23" s="1"/>
  <c r="J6" i="7"/>
  <c r="I7" i="23" s="1"/>
  <c r="I6" i="7"/>
  <c r="H7" i="23" s="1"/>
  <c r="K4" i="7"/>
  <c r="J47" i="23" s="1"/>
  <c r="J4" i="7"/>
  <c r="I47" i="23" s="1"/>
  <c r="I4" i="7"/>
  <c r="H47" i="23" s="1"/>
  <c r="K5" i="8"/>
  <c r="I5" i="8"/>
  <c r="J5" i="8"/>
  <c r="I8" i="24"/>
  <c r="D7" i="24"/>
  <c r="J7" i="24" s="1"/>
  <c r="G8" i="2"/>
  <c r="H8" i="23"/>
  <c r="G8" i="24"/>
  <c r="H7" i="24"/>
  <c r="G4" i="27"/>
  <c r="I8" i="23"/>
  <c r="G8" i="23"/>
  <c r="I17" i="23"/>
  <c r="J21" i="23"/>
  <c r="J16" i="23"/>
  <c r="J26" i="23"/>
  <c r="J14" i="23"/>
  <c r="J14" i="24"/>
  <c r="J29" i="24"/>
  <c r="I30" i="24"/>
  <c r="J15" i="23"/>
  <c r="H16" i="23"/>
  <c r="J20" i="23"/>
  <c r="J8" i="24"/>
  <c r="J28" i="23"/>
  <c r="I13" i="23"/>
  <c r="C48" i="26"/>
  <c r="H15" i="23"/>
  <c r="J19" i="23"/>
  <c r="J22" i="23"/>
  <c r="J24" i="23"/>
  <c r="J25" i="23"/>
  <c r="H60" i="26"/>
  <c r="H12" i="24"/>
  <c r="J13" i="24"/>
  <c r="J28" i="24"/>
  <c r="I13" i="24"/>
  <c r="I28" i="24"/>
  <c r="I12" i="24"/>
  <c r="H8" i="24"/>
  <c r="J17" i="23"/>
  <c r="I29" i="23"/>
  <c r="D60" i="23"/>
  <c r="H25" i="23"/>
  <c r="J29" i="23"/>
  <c r="E60" i="23"/>
  <c r="I25" i="23"/>
  <c r="C41" i="23"/>
  <c r="F60" i="23"/>
  <c r="I15" i="23"/>
  <c r="H23" i="23"/>
  <c r="I24" i="23"/>
  <c r="I23" i="23"/>
  <c r="H14" i="23"/>
  <c r="I14" i="23"/>
  <c r="H21" i="23"/>
  <c r="I22" i="23"/>
  <c r="H13" i="23"/>
  <c r="I21" i="23"/>
  <c r="H19" i="23"/>
  <c r="H32" i="23"/>
  <c r="I19" i="23"/>
  <c r="G8" i="27" l="1"/>
  <c r="I8" i="2"/>
  <c r="H8" i="2"/>
  <c r="J8" i="2"/>
  <c r="I7" i="24"/>
  <c r="H61" i="26" l="1"/>
  <c r="C10" i="2" l="1"/>
  <c r="C9" i="24"/>
  <c r="D9" i="24"/>
  <c r="E9" i="24"/>
  <c r="F9" i="24"/>
  <c r="C9" i="23"/>
  <c r="D9" i="23"/>
  <c r="E9" i="23"/>
  <c r="F9" i="23"/>
  <c r="H5" i="9"/>
  <c r="G49" i="23"/>
  <c r="F49" i="23"/>
  <c r="E49" i="23"/>
  <c r="D49" i="23"/>
  <c r="C49" i="23"/>
  <c r="C9" i="2"/>
  <c r="C7" i="2"/>
  <c r="G46" i="23"/>
  <c r="E46" i="23"/>
  <c r="D46" i="23"/>
  <c r="C46" i="23"/>
  <c r="C6" i="23"/>
  <c r="D6" i="23"/>
  <c r="E6" i="23"/>
  <c r="F6" i="23"/>
  <c r="E6" i="24"/>
  <c r="D6" i="24"/>
  <c r="C6" i="24"/>
  <c r="F6" i="24"/>
  <c r="C6" i="2"/>
  <c r="G45" i="23"/>
  <c r="F45" i="23"/>
  <c r="E45" i="23"/>
  <c r="D45" i="23"/>
  <c r="C45" i="23"/>
  <c r="C5" i="24"/>
  <c r="D5" i="24"/>
  <c r="E5" i="24"/>
  <c r="F5" i="24"/>
  <c r="C5" i="2"/>
  <c r="F4" i="24"/>
  <c r="E4" i="24"/>
  <c r="D4" i="24"/>
  <c r="C4" i="24"/>
  <c r="C4" i="23"/>
  <c r="D4" i="23"/>
  <c r="E4" i="23"/>
  <c r="F4" i="23"/>
  <c r="I6" i="4"/>
  <c r="G44" i="23"/>
  <c r="F44" i="23"/>
  <c r="E44" i="23"/>
  <c r="D44" i="23"/>
  <c r="C44" i="23"/>
  <c r="C4" i="2"/>
  <c r="K13" i="3"/>
  <c r="J37" i="26" s="1"/>
  <c r="K12" i="3"/>
  <c r="K11" i="3"/>
  <c r="K10" i="3"/>
  <c r="K9" i="3"/>
  <c r="K8" i="3"/>
  <c r="G2" i="10"/>
  <c r="F2" i="10"/>
  <c r="E2" i="10"/>
  <c r="D2" i="10"/>
  <c r="G2" i="9"/>
  <c r="F2" i="9"/>
  <c r="E2" i="9"/>
  <c r="D2" i="9"/>
  <c r="G2" i="8"/>
  <c r="F2" i="8"/>
  <c r="E2" i="8"/>
  <c r="D2" i="8"/>
  <c r="G2" i="7"/>
  <c r="F2" i="7"/>
  <c r="E2" i="7"/>
  <c r="D2" i="7"/>
  <c r="G2" i="6"/>
  <c r="F2" i="6"/>
  <c r="E2" i="6"/>
  <c r="D2" i="6"/>
  <c r="G2" i="5"/>
  <c r="F2" i="5"/>
  <c r="E2" i="5"/>
  <c r="D2" i="5"/>
  <c r="G2" i="4"/>
  <c r="F2" i="4"/>
  <c r="E2" i="4"/>
  <c r="D2" i="4"/>
  <c r="I13" i="3"/>
  <c r="I12" i="3"/>
  <c r="I11" i="3"/>
  <c r="I10" i="3"/>
  <c r="I9" i="3"/>
  <c r="I8" i="3"/>
  <c r="J13" i="3"/>
  <c r="I37" i="26" s="1"/>
  <c r="J12" i="3"/>
  <c r="J11" i="3"/>
  <c r="J10" i="3"/>
  <c r="J9" i="3"/>
  <c r="J8" i="3"/>
  <c r="F3" i="24"/>
  <c r="E3" i="24"/>
  <c r="D3" i="24"/>
  <c r="C3" i="24"/>
  <c r="C3" i="23"/>
  <c r="E3" i="23"/>
  <c r="F3" i="23"/>
  <c r="G43" i="23"/>
  <c r="F43" i="23"/>
  <c r="E43" i="23"/>
  <c r="D43" i="23"/>
  <c r="C43" i="23"/>
  <c r="G5" i="6" l="1"/>
  <c r="F46" i="23"/>
  <c r="E5" i="23"/>
  <c r="F5" i="5"/>
  <c r="F5" i="23"/>
  <c r="G5" i="5"/>
  <c r="C5" i="23"/>
  <c r="D5" i="5"/>
  <c r="D5" i="23"/>
  <c r="E5" i="5"/>
  <c r="G4" i="24"/>
  <c r="I7" i="4"/>
  <c r="J7" i="4"/>
  <c r="K7" i="4"/>
  <c r="K3" i="6"/>
  <c r="J3" i="6"/>
  <c r="I3" i="6"/>
  <c r="G6" i="24"/>
  <c r="I7" i="6"/>
  <c r="K7" i="6"/>
  <c r="J7" i="6"/>
  <c r="J3" i="3"/>
  <c r="I3" i="3"/>
  <c r="K3" i="3"/>
  <c r="K3" i="4"/>
  <c r="J3" i="4"/>
  <c r="I3" i="4"/>
  <c r="K3" i="7"/>
  <c r="J3" i="7"/>
  <c r="I3" i="7"/>
  <c r="I3" i="5"/>
  <c r="K3" i="5"/>
  <c r="J3" i="5"/>
  <c r="G5" i="24"/>
  <c r="K7" i="5"/>
  <c r="J7" i="5"/>
  <c r="I7" i="5"/>
  <c r="G9" i="24"/>
  <c r="K7" i="9"/>
  <c r="J7" i="9"/>
  <c r="I7" i="9"/>
  <c r="K3" i="9"/>
  <c r="J3" i="9"/>
  <c r="I3" i="9"/>
  <c r="I3" i="10"/>
  <c r="J3" i="10"/>
  <c r="K3" i="10"/>
  <c r="J4" i="6"/>
  <c r="I46" i="23" s="1"/>
  <c r="K4" i="6"/>
  <c r="J46" i="23" s="1"/>
  <c r="I4" i="6"/>
  <c r="H46" i="23" s="1"/>
  <c r="H5" i="4"/>
  <c r="K4" i="4"/>
  <c r="J44" i="23" s="1"/>
  <c r="I4" i="4"/>
  <c r="H44" i="23" s="1"/>
  <c r="J4" i="4"/>
  <c r="I44" i="23" s="1"/>
  <c r="I4" i="5"/>
  <c r="H45" i="23" s="1"/>
  <c r="K4" i="5"/>
  <c r="J45" i="23" s="1"/>
  <c r="J4" i="5"/>
  <c r="I45" i="23" s="1"/>
  <c r="K4" i="9"/>
  <c r="J49" i="23" s="1"/>
  <c r="J4" i="9"/>
  <c r="I49" i="23" s="1"/>
  <c r="I4" i="9"/>
  <c r="H49" i="23" s="1"/>
  <c r="K6" i="4"/>
  <c r="J4" i="23" s="1"/>
  <c r="J6" i="4"/>
  <c r="K6" i="5"/>
  <c r="J5" i="23" s="1"/>
  <c r="J6" i="5"/>
  <c r="I5" i="23" s="1"/>
  <c r="I6" i="5"/>
  <c r="H5" i="23" s="1"/>
  <c r="K6" i="6"/>
  <c r="J6" i="23" s="1"/>
  <c r="I6" i="6"/>
  <c r="H6" i="23" s="1"/>
  <c r="J6" i="6"/>
  <c r="I6" i="23" s="1"/>
  <c r="I6" i="9"/>
  <c r="H9" i="23" s="1"/>
  <c r="K6" i="9"/>
  <c r="J9" i="23" s="1"/>
  <c r="J6" i="9"/>
  <c r="I9" i="23" s="1"/>
  <c r="E37" i="2"/>
  <c r="F37" i="2"/>
  <c r="C3" i="2"/>
  <c r="C37" i="2" s="1"/>
  <c r="I6" i="24"/>
  <c r="H6" i="24"/>
  <c r="J6" i="24"/>
  <c r="H9" i="24"/>
  <c r="J9" i="24"/>
  <c r="I9" i="24"/>
  <c r="I4" i="24"/>
  <c r="J4" i="24"/>
  <c r="H4" i="24"/>
  <c r="J5" i="24"/>
  <c r="I5" i="24"/>
  <c r="H5" i="24"/>
  <c r="J3" i="24"/>
  <c r="H3" i="24"/>
  <c r="I3" i="24"/>
  <c r="K7" i="3"/>
  <c r="G3" i="24"/>
  <c r="G6" i="2"/>
  <c r="G5" i="2"/>
  <c r="G4" i="23"/>
  <c r="I4" i="23"/>
  <c r="H4" i="23"/>
  <c r="E5" i="3"/>
  <c r="D3" i="23"/>
  <c r="J7" i="3"/>
  <c r="G5" i="23"/>
  <c r="F5" i="6"/>
  <c r="G4" i="2"/>
  <c r="G7" i="2"/>
  <c r="I6" i="3"/>
  <c r="H3" i="23" s="1"/>
  <c r="G3" i="23"/>
  <c r="G9" i="2"/>
  <c r="K4" i="3"/>
  <c r="J43" i="23" s="1"/>
  <c r="G6" i="23"/>
  <c r="G9" i="23"/>
  <c r="G10" i="2"/>
  <c r="G5" i="3"/>
  <c r="J4" i="3"/>
  <c r="I43" i="23" s="1"/>
  <c r="G5" i="4"/>
  <c r="I4" i="3"/>
  <c r="H43" i="23" s="1"/>
  <c r="F5" i="7"/>
  <c r="D5" i="7"/>
  <c r="G5" i="7"/>
  <c r="J6" i="3"/>
  <c r="I3" i="23" s="1"/>
  <c r="H5" i="6"/>
  <c r="H5" i="7"/>
  <c r="K6" i="3"/>
  <c r="J3" i="23" s="1"/>
  <c r="G3" i="2"/>
  <c r="I7" i="3"/>
  <c r="D5" i="9"/>
  <c r="G5" i="9"/>
  <c r="I5" i="9" s="1"/>
  <c r="F5" i="9"/>
  <c r="F5" i="4"/>
  <c r="D5" i="4"/>
  <c r="E5" i="9"/>
  <c r="E5" i="7"/>
  <c r="D5" i="6"/>
  <c r="E5" i="6"/>
  <c r="E5" i="4"/>
  <c r="D5" i="3"/>
  <c r="F5" i="3"/>
  <c r="H5" i="3"/>
  <c r="J10" i="2" l="1"/>
  <c r="I10" i="2"/>
  <c r="H10" i="2"/>
  <c r="J9" i="2"/>
  <c r="I9" i="2"/>
  <c r="H9" i="2"/>
  <c r="K5" i="9"/>
  <c r="H7" i="2"/>
  <c r="J7" i="2"/>
  <c r="I7" i="2"/>
  <c r="J5" i="2"/>
  <c r="H5" i="2"/>
  <c r="H3" i="2"/>
  <c r="I3" i="2"/>
  <c r="J3" i="2"/>
  <c r="I4" i="2"/>
  <c r="H4" i="2"/>
  <c r="J4" i="2"/>
  <c r="J6" i="2"/>
  <c r="I6" i="2"/>
  <c r="H6" i="2"/>
  <c r="I5" i="4"/>
  <c r="K5" i="4"/>
  <c r="J5" i="4"/>
  <c r="J5" i="9"/>
  <c r="I5" i="7"/>
  <c r="K5" i="7"/>
  <c r="J5" i="7"/>
  <c r="K5" i="5"/>
  <c r="J5" i="5"/>
  <c r="I5" i="5"/>
  <c r="K5" i="6"/>
  <c r="J5" i="6"/>
  <c r="I5" i="6"/>
  <c r="K5" i="3"/>
  <c r="I5" i="3"/>
  <c r="J5" i="3"/>
  <c r="G37" i="2" l="1"/>
  <c r="F2" i="3"/>
  <c r="E2" i="3"/>
  <c r="D2" i="3"/>
  <c r="J37" i="2" l="1"/>
  <c r="H37" i="2"/>
  <c r="I3" i="25" l="1"/>
  <c r="J3" i="25"/>
  <c r="C78" i="25"/>
  <c r="I78" i="25" l="1"/>
  <c r="J78" i="25"/>
  <c r="C87" i="25"/>
  <c r="J45" i="25"/>
  <c r="I45" i="25"/>
  <c r="I10" i="26"/>
  <c r="I87" i="25" l="1"/>
  <c r="J87" i="25"/>
  <c r="G3" i="26"/>
  <c r="G27" i="26" s="1"/>
  <c r="C24" i="26" l="1"/>
  <c r="C12" i="26" l="1"/>
  <c r="C15" i="26" l="1"/>
  <c r="D3" i="26" l="1"/>
  <c r="D27" i="26" s="1"/>
  <c r="C3" i="26"/>
  <c r="C27" i="26" s="1"/>
  <c r="E3" i="26"/>
  <c r="E27" i="26" s="1"/>
  <c r="J26" i="26" l="1"/>
  <c r="F3" i="26"/>
  <c r="F27" i="26" s="1"/>
  <c r="F7" i="27"/>
  <c r="F8" i="27" s="1"/>
</calcChain>
</file>

<file path=xl/sharedStrings.xml><?xml version="1.0" encoding="utf-8"?>
<sst xmlns="http://schemas.openxmlformats.org/spreadsheetml/2006/main" count="2213" uniqueCount="439">
  <si>
    <t xml:space="preserve">Name </t>
  </si>
  <si>
    <t>PDI Statistics Tables 2021</t>
  </si>
  <si>
    <t>Purpose</t>
  </si>
  <si>
    <t>For current reporting historical statsistics for a range of industries and measures</t>
  </si>
  <si>
    <t xml:space="preserve">Prepared By </t>
  </si>
  <si>
    <t>Niall Cummings, Insights &amp; Industry Analysis</t>
  </si>
  <si>
    <t>Prepared</t>
  </si>
  <si>
    <t>September 2021</t>
  </si>
  <si>
    <t>Catalogue Index</t>
  </si>
  <si>
    <t>Wheat</t>
  </si>
  <si>
    <t>Barley</t>
  </si>
  <si>
    <t>Rice</t>
  </si>
  <si>
    <t>Coarse Grains</t>
  </si>
  <si>
    <t>Pulses</t>
  </si>
  <si>
    <t>Oilseeds</t>
  </si>
  <si>
    <t>Cotton Lint</t>
  </si>
  <si>
    <t>Sugarcane</t>
  </si>
  <si>
    <t>Horticulture</t>
  </si>
  <si>
    <t>Wine</t>
  </si>
  <si>
    <t>Beef</t>
  </si>
  <si>
    <t>Sheep Meat</t>
  </si>
  <si>
    <t>Goat Meat</t>
  </si>
  <si>
    <t>Pork</t>
  </si>
  <si>
    <t>Poultry</t>
  </si>
  <si>
    <t>Wool</t>
  </si>
  <si>
    <t>Eggs</t>
  </si>
  <si>
    <t>Milk</t>
  </si>
  <si>
    <t>Forestry</t>
  </si>
  <si>
    <t>Fisheries</t>
  </si>
  <si>
    <t>Gross Value of Production</t>
  </si>
  <si>
    <t>Production Data Consolidated</t>
  </si>
  <si>
    <t>Price Data Consolidated</t>
  </si>
  <si>
    <t>Exports Data Consolidated</t>
  </si>
  <si>
    <t>Imports &amp; Trade Balance Data Consolidated</t>
  </si>
  <si>
    <t>Jobs &amp; Businesses Consolidated</t>
  </si>
  <si>
    <t>Consolidated Footnotes</t>
  </si>
  <si>
    <t>Measure</t>
  </si>
  <si>
    <t>Destination</t>
  </si>
  <si>
    <t>Units</t>
  </si>
  <si>
    <t>2020-21[e]</t>
  </si>
  <si>
    <t>Year On Year Change (%)</t>
  </si>
  <si>
    <t>5 Year MA</t>
  </si>
  <si>
    <t>5 Year MA Change (%)</t>
  </si>
  <si>
    <t>Data Source PDI Shortname</t>
  </si>
  <si>
    <t>Data Source Full Reference</t>
  </si>
  <si>
    <t>Gross Value of Production (GVP)</t>
  </si>
  <si>
    <t>$m</t>
  </si>
  <si>
    <t>Australian Bureau of Statistics (2021). 7503.0 Value of Agricultural Commodities Produced, Australia 2019-20. Last accessed September 2021. 
&lt;http://www.abs.gov.au/ausstats/abs@.nsf/mf/7503.0&gt;</t>
  </si>
  <si>
    <t>Area Planted</t>
  </si>
  <si>
    <t>000 ha</t>
  </si>
  <si>
    <t>Australian Bureau of Agricultural and Resource Economics and Sciences (2021). Australian Crop Report, September 2021. Last accessed September 2021.</t>
  </si>
  <si>
    <t>Yield</t>
  </si>
  <si>
    <t>tonnes/ha</t>
  </si>
  <si>
    <t>Production</t>
  </si>
  <si>
    <t>000 tonnes</t>
  </si>
  <si>
    <t>Price</t>
  </si>
  <si>
    <t>$/tonne</t>
  </si>
  <si>
    <t>ABARES (2021b)</t>
  </si>
  <si>
    <t>Australian Bureau of Agricultural and Resource Economics and Sciences (2021). Agricultural Commodities, September 2021. Last accessed September 2021.</t>
  </si>
  <si>
    <t>Export Value</t>
  </si>
  <si>
    <t xml:space="preserve">Total </t>
  </si>
  <si>
    <t>GTA (2021)</t>
  </si>
  <si>
    <t>IHS Global Trade Atlas (GTA) (2021). Unpublished trade data accessed via subscription service. Last Accessed September 2021.</t>
  </si>
  <si>
    <t>Indonesia</t>
  </si>
  <si>
    <t>Vietnam</t>
  </si>
  <si>
    <t>China</t>
  </si>
  <si>
    <t>Imports</t>
  </si>
  <si>
    <t>Trade Balance[n]</t>
  </si>
  <si>
    <r>
      <rPr>
        <vertAlign val="superscript"/>
        <sz val="9"/>
        <color theme="1"/>
        <rFont val="Arial"/>
        <family val="2"/>
      </rPr>
      <t>e</t>
    </r>
    <r>
      <rPr>
        <sz val="9"/>
        <color theme="1"/>
        <rFont val="Arial"/>
        <family val="2"/>
      </rPr>
      <t xml:space="preserve"> DPI estimate only, subject to revision</t>
    </r>
  </si>
  <si>
    <r>
      <rPr>
        <vertAlign val="superscript"/>
        <sz val="9"/>
        <color theme="1"/>
        <rFont val="Arial"/>
        <family val="2"/>
      </rPr>
      <t>n</t>
    </r>
    <r>
      <rPr>
        <sz val="9"/>
        <color theme="1"/>
        <rFont val="Arial"/>
        <family val="2"/>
      </rPr>
      <t xml:space="preserve"> Negative values denote a net import trade flow</t>
    </r>
  </si>
  <si>
    <t>Export Value (NSW)[j]</t>
  </si>
  <si>
    <t>Kuwait</t>
  </si>
  <si>
    <t>Saudi Arabia</t>
  </si>
  <si>
    <t>Japan</t>
  </si>
  <si>
    <t>Imports (NSW)</t>
  </si>
  <si>
    <t>Export Value (Australia)[j]</t>
  </si>
  <si>
    <t>Imports (Australia)</t>
  </si>
  <si>
    <r>
      <rPr>
        <vertAlign val="superscript"/>
        <sz val="9"/>
        <color theme="1"/>
        <rFont val="Arial"/>
        <family val="2"/>
      </rPr>
      <t>j</t>
    </r>
    <r>
      <rPr>
        <sz val="9"/>
        <color theme="1"/>
        <rFont val="Arial"/>
        <family val="2"/>
      </rPr>
      <t xml:space="preserve"> Due to confidentiality, ABS state level export data restrictions applied until March 2018.</t>
    </r>
  </si>
  <si>
    <t>Export Value (NSW)</t>
  </si>
  <si>
    <t>Unidentified Country</t>
  </si>
  <si>
    <t>Papua New Guinea</t>
  </si>
  <si>
    <t>Export Value (Australia)</t>
  </si>
  <si>
    <t>New Caledonia</t>
  </si>
  <si>
    <t>Coarse Grains (Sorghum, Corn and Oats)</t>
  </si>
  <si>
    <t>Price (Sorghum)</t>
  </si>
  <si>
    <t>Export Value (Sorghum)</t>
  </si>
  <si>
    <t>Taiwan</t>
  </si>
  <si>
    <t>Imports (Sorghum)</t>
  </si>
  <si>
    <t>Price (Chickpeas)</t>
  </si>
  <si>
    <t>Pakistan</t>
  </si>
  <si>
    <t>Bangladesh</t>
  </si>
  <si>
    <t>India</t>
  </si>
  <si>
    <t>Canola</t>
  </si>
  <si>
    <t>Yield (Canola)</t>
  </si>
  <si>
    <t>Price (Canola)</t>
  </si>
  <si>
    <t>Price (Soybeans)</t>
  </si>
  <si>
    <t>Belgium</t>
  </si>
  <si>
    <t>Germany</t>
  </si>
  <si>
    <t>France</t>
  </si>
  <si>
    <t>bales/ha</t>
  </si>
  <si>
    <t>000 bales (227kg)</t>
  </si>
  <si>
    <t>$/bale</t>
  </si>
  <si>
    <r>
      <rPr>
        <vertAlign val="superscript"/>
        <sz val="9"/>
        <color theme="1"/>
        <rFont val="Arial"/>
        <family val="2"/>
      </rPr>
      <t>j</t>
    </r>
    <r>
      <rPr>
        <sz val="9"/>
        <color theme="1"/>
        <rFont val="Arial"/>
        <family val="2"/>
      </rPr>
      <t xml:space="preserve"> Due to confidentiality, ABS state level export data restrictions have been applied and national export figures are quoted in addition to state exports</t>
    </r>
  </si>
  <si>
    <t>ASMC (2021)</t>
  </si>
  <si>
    <t>Australian Sugar Milling Council (2021). Sugar cane statistics. Last accessed September 2021.</t>
  </si>
  <si>
    <t>tonnes/ha (Cane)</t>
  </si>
  <si>
    <t>000 tonnes (Cane)</t>
  </si>
  <si>
    <t>Sugar Produced</t>
  </si>
  <si>
    <t>000 tonnes IPS</t>
  </si>
  <si>
    <t>New Zealand</t>
  </si>
  <si>
    <t>Philippines</t>
  </si>
  <si>
    <t>GVP (Total excl. Wine Grapes)</t>
  </si>
  <si>
    <t>GVP (Fruit, Nut &amp; Table Grapes)</t>
  </si>
  <si>
    <t>GVP (Vegetables)</t>
  </si>
  <si>
    <t>GVP (Nurseries, Cut Flowers, Turf)</t>
  </si>
  <si>
    <t>Production (Oranges, Mandarins)</t>
  </si>
  <si>
    <t>N/A</t>
  </si>
  <si>
    <t>Australian Bureau of Statistics (2021). 7121.0 Agricultural Commodities Produced, Australia 2019-20. Last accessed September 2021.</t>
  </si>
  <si>
    <t>Production (Macadamias, Almonds)</t>
  </si>
  <si>
    <t>Production (Melons)</t>
  </si>
  <si>
    <t>Production (Mushrooms)</t>
  </si>
  <si>
    <t>Production (Potatoes)</t>
  </si>
  <si>
    <t>Area (Nurseries, Cut Flowers, Turf)</t>
  </si>
  <si>
    <t>000 hectares</t>
  </si>
  <si>
    <t>Consumer Price Index (Fruit)[u]</t>
  </si>
  <si>
    <t>CPI (Sydney)</t>
  </si>
  <si>
    <t>Australian Bureau of Statistics (2021). 6401.0 Consumer Price Index, Australia, June 2021. Last accessed September 2021</t>
  </si>
  <si>
    <t>Consumer Price Index (Vegetables)[u]</t>
  </si>
  <si>
    <t>Hong Kong</t>
  </si>
  <si>
    <r>
      <rPr>
        <vertAlign val="superscript"/>
        <sz val="9"/>
        <color theme="1"/>
        <rFont val="Arial"/>
        <family val="2"/>
      </rPr>
      <t>p</t>
    </r>
    <r>
      <rPr>
        <sz val="9"/>
        <color theme="1"/>
        <rFont val="Arial"/>
        <family val="2"/>
      </rPr>
      <t xml:space="preserve"> Some values excluded due to lack of data availability</t>
    </r>
  </si>
  <si>
    <r>
      <rPr>
        <vertAlign val="superscript"/>
        <sz val="9"/>
        <color theme="1"/>
        <rFont val="Arial"/>
        <family val="2"/>
      </rPr>
      <t>u</t>
    </r>
    <r>
      <rPr>
        <sz val="9"/>
        <color theme="1"/>
        <rFont val="Arial"/>
        <family val="2"/>
      </rPr>
      <t xml:space="preserve"> Average over 4 quarters Sydney CPI data</t>
    </r>
  </si>
  <si>
    <t>Wine Grapes</t>
  </si>
  <si>
    <t>Grape Crush</t>
  </si>
  <si>
    <t>Australian Bureau of Statistics (2021). 7121.0 Agricultural Commodities Produced, Australia 2019-20. Last accessed September 2021.; Wine Australia (2021a). National Vintage Report 2021. https://www.wineaustralia.com/market-insights/national-vintage-report</t>
  </si>
  <si>
    <t>Price (National Gross Unit Value)</t>
  </si>
  <si>
    <t>Export Value (Wine)</t>
  </si>
  <si>
    <t>United States</t>
  </si>
  <si>
    <t>United Kingdom</t>
  </si>
  <si>
    <r>
      <rPr>
        <vertAlign val="superscript"/>
        <sz val="9"/>
        <color theme="1"/>
        <rFont val="Arial"/>
        <family val="2"/>
      </rPr>
      <t xml:space="preserve">w </t>
    </r>
    <r>
      <rPr>
        <sz val="9"/>
        <color theme="1"/>
        <rFont val="Arial"/>
        <family val="2"/>
      </rPr>
      <t>Data is wine grape crush data sourced from WA (2021a), which is separate to production data provided by the ABS</t>
    </r>
  </si>
  <si>
    <t>5 Year Average</t>
  </si>
  <si>
    <t>Cattle On Feed (NSW)</t>
  </si>
  <si>
    <t>000 head</t>
  </si>
  <si>
    <t>MLA (2021a)</t>
  </si>
  <si>
    <t>Meat and Livestock Australia (2021). Market Information and Statistics Database Custom Report. Last accessed September 2021.</t>
  </si>
  <si>
    <t>Cattle Herd (NSW)</t>
  </si>
  <si>
    <t>NSW Beef Cattle Herd Contribution</t>
  </si>
  <si>
    <t>% of National</t>
  </si>
  <si>
    <t>Production (NSW Slaughter)</t>
  </si>
  <si>
    <t>ABS (2021d)</t>
  </si>
  <si>
    <t>Australian Bureau of Statistics (2021). 7215.0 Livestock Products, Australia. Last accessed September 2021.</t>
  </si>
  <si>
    <t>Production (NSW Head Adult &amp; Calves)</t>
  </si>
  <si>
    <t>000 Head</t>
  </si>
  <si>
    <t>Average Carcass Weight (Adult cattle)</t>
  </si>
  <si>
    <t>kg/head</t>
  </si>
  <si>
    <t>Price (EYCI)</t>
  </si>
  <si>
    <t>Ac/kg (cwt)</t>
  </si>
  <si>
    <t>Price (NSW Saleyard Medium Cow)</t>
  </si>
  <si>
    <t>Price (NSW Saleyard Trade Steer)</t>
  </si>
  <si>
    <t>e DPI estimate only, subject to revision</t>
  </si>
  <si>
    <t>n Negative values denote a net import trade flow</t>
  </si>
  <si>
    <t>Lamb and Sheep Meat</t>
  </si>
  <si>
    <t>GVP (Lamb, Sheep)</t>
  </si>
  <si>
    <t>Sheep Flock (NSW Total)</t>
  </si>
  <si>
    <t>million head</t>
  </si>
  <si>
    <t>Non Merino Ewe Flock (NSW 1 Year Or Greater)</t>
  </si>
  <si>
    <t>Total Ewes</t>
  </si>
  <si>
    <t>Production (Lamb Slaughter)</t>
  </si>
  <si>
    <t>Production (Mutton Slaughter)</t>
  </si>
  <si>
    <t>Price (ESTLI)</t>
  </si>
  <si>
    <t>Price (Eastern States Mutton Indicator)</t>
  </si>
  <si>
    <t>Goat meat</t>
  </si>
  <si>
    <t>GVP (Goat)[c]</t>
  </si>
  <si>
    <t>Production (Goat Slaughter)[f]</t>
  </si>
  <si>
    <t>tonnes</t>
  </si>
  <si>
    <t>Price (Eastern States OTH Goat Indicator)</t>
  </si>
  <si>
    <t>Malaysia</t>
  </si>
  <si>
    <t>Trinidad &amp; Tobago</t>
  </si>
  <si>
    <r>
      <rPr>
        <vertAlign val="superscript"/>
        <sz val="9"/>
        <color theme="1"/>
        <rFont val="Arial"/>
        <family val="2"/>
      </rPr>
      <t xml:space="preserve">c </t>
    </r>
    <r>
      <rPr>
        <sz val="9"/>
        <color theme="1"/>
        <rFont val="Arial"/>
        <family val="2"/>
      </rPr>
      <t>Goat meat not defined explicitly for each year, but assumed from historic data. ABS intermittently indicates this does not include Rangeland ("Feral") Goats.</t>
    </r>
  </si>
  <si>
    <r>
      <rPr>
        <vertAlign val="superscript"/>
        <sz val="9"/>
        <color theme="1"/>
        <rFont val="Arial"/>
        <family val="2"/>
      </rPr>
      <t xml:space="preserve">f </t>
    </r>
    <r>
      <rPr>
        <sz val="9"/>
        <color theme="1"/>
        <rFont val="Arial"/>
        <family val="2"/>
      </rPr>
      <t>Goat production data sourced from a seperate source to GVP data. Production data includes rangeland &amp; managed goats</t>
    </r>
  </si>
  <si>
    <t>Pig Herd (NSW Total)</t>
  </si>
  <si>
    <t>Production (Slaughter)</t>
  </si>
  <si>
    <t>Price (Gross Unit Value)</t>
  </si>
  <si>
    <t>Ac/kg</t>
  </si>
  <si>
    <t>Singapore</t>
  </si>
  <si>
    <t>Meat Poultry Flock (NSW)</t>
  </si>
  <si>
    <t>Production (Chicken Meat)</t>
  </si>
  <si>
    <t>Solomon Islands</t>
  </si>
  <si>
    <t>Merino Ewe Flock (NSW 1 Year Or Greater)</t>
  </si>
  <si>
    <t>Price (EMI)</t>
  </si>
  <si>
    <t>c/kg (clean)</t>
  </si>
  <si>
    <t>Australian Bureau of Agricultural and Resource Economics and Sciences (2021). Agricultural Commodities, September 2021. Last accessed September 2021; Australian Wool Exchange (2021). AWEX Micron Price Guide Data. Last accessed September 2021.</t>
  </si>
  <si>
    <t>Czech Republic</t>
  </si>
  <si>
    <t>Italy</t>
  </si>
  <si>
    <t>Layers &amp; Pullets Flock (NSW)</t>
  </si>
  <si>
    <t>Production (NSW Eggs)</t>
  </si>
  <si>
    <t>million dozen</t>
  </si>
  <si>
    <t>NSW Egg Production Contribution</t>
  </si>
  <si>
    <t>Price (National)</t>
  </si>
  <si>
    <t>Ac/dozen</t>
  </si>
  <si>
    <t>Consumer Price Index (Eggs)[u]</t>
  </si>
  <si>
    <t>Dairy Herd Total (NSW)</t>
  </si>
  <si>
    <t>Cows in Milk &amp; Dry (NSW)</t>
  </si>
  <si>
    <t>NSW Cows in Milk &amp; Dry Contribution</t>
  </si>
  <si>
    <t>Production (wholemilk)[q]</t>
  </si>
  <si>
    <t>million litres</t>
  </si>
  <si>
    <t>DA (2021a)</t>
  </si>
  <si>
    <r>
      <t xml:space="preserve">Dairy Australia (2021), </t>
    </r>
    <r>
      <rPr>
        <i/>
        <sz val="9"/>
        <rFont val="Arial"/>
        <family val="2"/>
      </rPr>
      <t>NSW Milk Production Report June 2021,</t>
    </r>
    <r>
      <rPr>
        <sz val="9"/>
        <rFont val="Arial"/>
        <family val="2"/>
      </rPr>
      <t xml:space="preserve"> last accessed September 2021</t>
    </r>
  </si>
  <si>
    <t>Price (NSW milk)</t>
  </si>
  <si>
    <t>Ac/litre</t>
  </si>
  <si>
    <t>DA (2019d)</t>
  </si>
  <si>
    <r>
      <t xml:space="preserve">Dairy Australia (2021), </t>
    </r>
    <r>
      <rPr>
        <i/>
        <sz val="9"/>
        <rFont val="Arial"/>
        <family val="2"/>
      </rPr>
      <t>Farmgate Milk Price</t>
    </r>
    <r>
      <rPr>
        <sz val="9"/>
        <rFont val="Arial"/>
        <family val="2"/>
      </rPr>
      <t>, last accessed October 2021, &lt;https://www.dairyaustralia.com.au/industry/prices/farmgate-milk-price&gt;</t>
    </r>
  </si>
  <si>
    <t>Price (NSW milk solids)</t>
  </si>
  <si>
    <t>$/kg</t>
  </si>
  <si>
    <r>
      <rPr>
        <vertAlign val="superscript"/>
        <sz val="9"/>
        <color theme="1"/>
        <rFont val="Arial"/>
        <family val="2"/>
      </rPr>
      <t xml:space="preserve">q </t>
    </r>
    <r>
      <rPr>
        <sz val="9"/>
        <color theme="1"/>
        <rFont val="Arial"/>
        <family val="2"/>
      </rPr>
      <t>2018-19 data and prior is sourced from ABARES, while 2019-20 is sourced from Dairy Australia. Data may not be directly comparable</t>
    </r>
  </si>
  <si>
    <t>GVP (Total)[t]</t>
  </si>
  <si>
    <t>Australian Bureau of Agricultural and Resource Economics and Sciences (2021). Australian Forest and Wood Product Statistics September – December 2020. Last accessed September 2021.</t>
  </si>
  <si>
    <t>GVP (Softwood)[t]</t>
  </si>
  <si>
    <t>GVP (Hardwood)[t]</t>
  </si>
  <si>
    <t>Plantation Areas (Softwood)</t>
  </si>
  <si>
    <t>Plantation Areas (Hardwood)</t>
  </si>
  <si>
    <t>Production (Softwood)</t>
  </si>
  <si>
    <r>
      <t>000 m</t>
    </r>
    <r>
      <rPr>
        <vertAlign val="superscript"/>
        <sz val="9"/>
        <color theme="1"/>
        <rFont val="Arial"/>
        <family val="2"/>
      </rPr>
      <t>3</t>
    </r>
  </si>
  <si>
    <t>Production (Hardwood)</t>
  </si>
  <si>
    <t>Implied Price (Softwood)[r]</t>
  </si>
  <si>
    <r>
      <t>$/m</t>
    </r>
    <r>
      <rPr>
        <vertAlign val="superscript"/>
        <sz val="9"/>
        <color theme="1"/>
        <rFont val="Arial"/>
        <family val="2"/>
      </rPr>
      <t>3</t>
    </r>
  </si>
  <si>
    <t>Implied Price (Hardwood)[r]</t>
  </si>
  <si>
    <t>Korea, South</t>
  </si>
  <si>
    <r>
      <rPr>
        <vertAlign val="superscript"/>
        <sz val="9"/>
        <color theme="1"/>
        <rFont val="Arial"/>
        <family val="2"/>
      </rPr>
      <t>r</t>
    </r>
    <r>
      <rPr>
        <sz val="9"/>
        <color theme="1"/>
        <rFont val="Arial"/>
        <family val="2"/>
      </rPr>
      <t xml:space="preserve"> Implied price basis ABARES (2021c) GVP &amp; production data</t>
    </r>
  </si>
  <si>
    <r>
      <rPr>
        <vertAlign val="superscript"/>
        <sz val="9"/>
        <color theme="1"/>
        <rFont val="Arial"/>
        <family val="2"/>
      </rPr>
      <t xml:space="preserve">t </t>
    </r>
    <r>
      <rPr>
        <sz val="9"/>
        <color theme="1"/>
        <rFont val="Arial"/>
        <family val="2"/>
      </rPr>
      <t>GVP is sourced sperately to Agriculture GVP and EVAO threshold differs</t>
    </r>
  </si>
  <si>
    <t>See Below</t>
  </si>
  <si>
    <t>GVP (Aquaculture)[t]</t>
  </si>
  <si>
    <t>NSW Department of Primary Industries (2021). Aquaculture Production Report 2019-20. Last accessed September 2021. &lt;https://www.dpi.nsw.gov.au/fishing/aquaculture/publications/aquaculture-production-reports&gt;</t>
  </si>
  <si>
    <t>GVP (Commercial Fisheries)[t]</t>
  </si>
  <si>
    <t>Australian Bureau of Agricultural and Resource Economics (2021d). Australian Fisheries and Aquaculture Statistics 2020. Last Accessed October 2021. https://www.agriculture.gov.au/abares/research-topics/fisheries/fisheries-and-aquaculture-statistics</t>
  </si>
  <si>
    <t>Production (Sydney &amp; Pacific Rock Oysters)</t>
  </si>
  <si>
    <t>million dozens</t>
  </si>
  <si>
    <t>Production (Aquaculture)</t>
  </si>
  <si>
    <t>Production (Wild Caught Harvest)</t>
  </si>
  <si>
    <t>Consumer Price Index (Fish &amp; Other Seafood)[u]</t>
  </si>
  <si>
    <t>2016-17</t>
  </si>
  <si>
    <t>2017-18</t>
  </si>
  <si>
    <t>2018-19</t>
  </si>
  <si>
    <t>2019-20</t>
  </si>
  <si>
    <t>Broadacre Cropping Sub-total</t>
  </si>
  <si>
    <t>Other Coarse Grains</t>
  </si>
  <si>
    <t>Sugar Cane</t>
  </si>
  <si>
    <t>Other Crops[b]</t>
  </si>
  <si>
    <t>Horticulture &amp; Viticulture Sub-total</t>
  </si>
  <si>
    <t>Fruit, Nuts, Table Grapes</t>
  </si>
  <si>
    <t>Vegetables</t>
  </si>
  <si>
    <t>Nurseries, Cut Flowers, Turf</t>
  </si>
  <si>
    <t>Livestock &amp; Livestock Products Sub-total</t>
  </si>
  <si>
    <t>Beef Cattle</t>
  </si>
  <si>
    <t>Lamb &amp; Mutton</t>
  </si>
  <si>
    <t>Goat (excl. Rangeland Goats)[c]</t>
  </si>
  <si>
    <t>Honey &amp; Beeswax</t>
  </si>
  <si>
    <t>Forestry &amp; Fisheries Sub-total[t]</t>
  </si>
  <si>
    <t>Softwood[t]</t>
  </si>
  <si>
    <t>Hardwood[t]</t>
  </si>
  <si>
    <t>Aquaculture[t]</t>
  </si>
  <si>
    <t>Wild Caught[t]</t>
  </si>
  <si>
    <t>Hunting, Recreational &amp; Charter Fishing Sub-total[z]</t>
  </si>
  <si>
    <t>Hunting</t>
  </si>
  <si>
    <t>Recreational Fishing</t>
  </si>
  <si>
    <t>Charter Fishing[a]</t>
  </si>
  <si>
    <t>TOTAL GVP</t>
  </si>
  <si>
    <t>Footnotes</t>
  </si>
  <si>
    <r>
      <rPr>
        <vertAlign val="superscript"/>
        <sz val="9"/>
        <color theme="1"/>
        <rFont val="Arial"/>
        <family val="2"/>
      </rPr>
      <t>a</t>
    </r>
    <r>
      <rPr>
        <sz val="9"/>
        <color theme="1"/>
        <rFont val="Arial"/>
        <family val="2"/>
      </rPr>
      <t xml:space="preserve"> GVP data is based on the ABS new threshold of $40k with the exception of forestry &amp; fisheries which are sourced elswhere</t>
    </r>
  </si>
  <si>
    <r>
      <rPr>
        <vertAlign val="superscript"/>
        <sz val="9"/>
        <color theme="1"/>
        <rFont val="Arial"/>
        <family val="2"/>
      </rPr>
      <t xml:space="preserve">b </t>
    </r>
    <r>
      <rPr>
        <sz val="9"/>
        <color theme="1"/>
        <rFont val="Arial"/>
        <family val="2"/>
      </rPr>
      <t>Includes other broadacre crops, hay &amp; silage</t>
    </r>
  </si>
  <si>
    <r>
      <rPr>
        <vertAlign val="superscript"/>
        <sz val="9"/>
        <color theme="1"/>
        <rFont val="Arial"/>
        <family val="2"/>
      </rPr>
      <t>o</t>
    </r>
    <r>
      <rPr>
        <sz val="9"/>
        <color theme="1"/>
        <rFont val="Arial"/>
        <family val="2"/>
      </rPr>
      <t xml:space="preserve"> From 2010-11 onwards, GVP is based on the ABS new EVAO threshold of greater than $40k, prior to this values are based on EVAO of greater than $5k</t>
    </r>
  </si>
  <si>
    <r>
      <rPr>
        <i/>
        <vertAlign val="superscript"/>
        <sz val="9"/>
        <color theme="1"/>
        <rFont val="Arial"/>
        <family val="2"/>
      </rPr>
      <t>z</t>
    </r>
    <r>
      <rPr>
        <sz val="9"/>
        <color theme="1"/>
        <rFont val="Arial"/>
        <family val="2"/>
      </rPr>
      <t>Hunting, Recreational &amp; Charter fishing output value is an estimate of participant expenditure on these activities</t>
    </r>
  </si>
  <si>
    <t>Industry Production Volumes</t>
  </si>
  <si>
    <t xml:space="preserve">Broadacre Cropping </t>
  </si>
  <si>
    <t xml:space="preserve">Horticulture &amp; Viticulture </t>
  </si>
  <si>
    <t>Fruit (Oranges, Mandarins)</t>
  </si>
  <si>
    <t>Nuts (Macadamias, Almonds</t>
  </si>
  <si>
    <t>Vegetables (Melons)</t>
  </si>
  <si>
    <t>Vegetables (Mushrooms)</t>
  </si>
  <si>
    <t>Vegetables (Potatoes)</t>
  </si>
  <si>
    <t>Wine Grapes[w]</t>
  </si>
  <si>
    <t xml:space="preserve">Livestock &amp; Livestock Products </t>
  </si>
  <si>
    <t>Goat (all goats)[f]</t>
  </si>
  <si>
    <t>Milk[q]</t>
  </si>
  <si>
    <t xml:space="preserve">Forestry &amp; Fisheries </t>
  </si>
  <si>
    <t>Softwood</t>
  </si>
  <si>
    <t>000 m3</t>
  </si>
  <si>
    <t>Hardwood</t>
  </si>
  <si>
    <t>Aquaculture (Oysters)[g]</t>
  </si>
  <si>
    <t>Aquaculture (Total)</t>
  </si>
  <si>
    <t>Wild Caught</t>
  </si>
  <si>
    <r>
      <rPr>
        <vertAlign val="superscript"/>
        <sz val="9"/>
        <color theme="1"/>
        <rFont val="Arial"/>
        <family val="2"/>
      </rPr>
      <t xml:space="preserve">k </t>
    </r>
    <r>
      <rPr>
        <sz val="9"/>
        <color theme="1"/>
        <rFont val="Arial"/>
        <family val="2"/>
      </rPr>
      <t>Includes Maize, Oats &amp; Triticale. Hay &amp; silage is excluded from this data</t>
    </r>
  </si>
  <si>
    <r>
      <rPr>
        <vertAlign val="superscript"/>
        <sz val="9"/>
        <color theme="1"/>
        <rFont val="Arial"/>
        <family val="2"/>
      </rPr>
      <t xml:space="preserve">g </t>
    </r>
    <r>
      <rPr>
        <sz val="9"/>
        <color theme="1"/>
        <rFont val="Arial"/>
        <family val="2"/>
      </rPr>
      <t>Sydney &amp; Pacific Rock Oysters only</t>
    </r>
  </si>
  <si>
    <r>
      <rPr>
        <vertAlign val="superscript"/>
        <sz val="9"/>
        <color theme="1"/>
        <rFont val="Arial"/>
        <family val="2"/>
      </rPr>
      <t xml:space="preserve">s </t>
    </r>
    <r>
      <rPr>
        <sz val="9"/>
        <color theme="1"/>
        <rFont val="Arial"/>
        <family val="2"/>
      </rPr>
      <t>subject to revision</t>
    </r>
  </si>
  <si>
    <r>
      <rPr>
        <vertAlign val="superscript"/>
        <sz val="9"/>
        <color theme="1"/>
        <rFont val="Arial"/>
        <family val="2"/>
      </rPr>
      <t xml:space="preserve">q </t>
    </r>
    <r>
      <rPr>
        <sz val="9"/>
        <color theme="1"/>
        <rFont val="Arial"/>
        <family val="2"/>
      </rPr>
      <t>2016-17 data and prior is sourced from ABARES, while 2017-18 is sourced from Dairy Australia. Data may not be directly comparable</t>
    </r>
  </si>
  <si>
    <r>
      <rPr>
        <vertAlign val="superscript"/>
        <sz val="9"/>
        <color theme="1"/>
        <rFont val="Arial"/>
        <family val="2"/>
      </rPr>
      <t xml:space="preserve">w </t>
    </r>
    <r>
      <rPr>
        <sz val="9"/>
        <color theme="1"/>
        <rFont val="Arial"/>
        <family val="2"/>
      </rPr>
      <t>Data is wine grape crush data sourced from WA (2018a), which is separate to production data provided by the ABS</t>
    </r>
  </si>
  <si>
    <t>Industry Production Areas (Cropping &amp; Forestry)</t>
  </si>
  <si>
    <t>Other Crops[k]</t>
  </si>
  <si>
    <t>Industry Livestock Numbers (Livestock)</t>
  </si>
  <si>
    <t>Lamb &amp; Mutton Total</t>
  </si>
  <si>
    <t>Non Merino Ewes - 1 Year or Greater</t>
  </si>
  <si>
    <t>Merino Ewes - 1 Year or Greater</t>
  </si>
  <si>
    <t>Pigs</t>
  </si>
  <si>
    <t>Meat Poultry</t>
  </si>
  <si>
    <t>Layers &amp; Pullets</t>
  </si>
  <si>
    <t>Dairy Herd Total</t>
  </si>
  <si>
    <t>Cows in Milk &amp; Dry</t>
  </si>
  <si>
    <t>Industry Prices</t>
  </si>
  <si>
    <t>Broadacre Cropping</t>
  </si>
  <si>
    <t>Pulses (Chickpeas)</t>
  </si>
  <si>
    <t>Oilseeds (Canola)</t>
  </si>
  <si>
    <t>Horticulture &amp; Viticulture</t>
  </si>
  <si>
    <t>Fruit (Consumer Price Index)</t>
  </si>
  <si>
    <t>CPI</t>
  </si>
  <si>
    <t>Vegetables (Consumer Price Index)</t>
  </si>
  <si>
    <t>Beef Cattle (EYCI)</t>
  </si>
  <si>
    <t>Ac/kg cwt</t>
  </si>
  <si>
    <t>Beef Cattle (NSW Saleyard Medium Cow)</t>
  </si>
  <si>
    <t>Beef Cattle (NSW Saleyard Trade Steer)</t>
  </si>
  <si>
    <t>Lamb (ESTLI)</t>
  </si>
  <si>
    <t>Mutton (Eastern States Mutton Indicator)</t>
  </si>
  <si>
    <t>Goat (NSW Average OTH Goat Indicators)</t>
  </si>
  <si>
    <t>Wool (EMI)</t>
  </si>
  <si>
    <t>Ac/kg clean</t>
  </si>
  <si>
    <t>Eggs (Consumer Price Index)</t>
  </si>
  <si>
    <t>Milk (NSW Farm Gate)</t>
  </si>
  <si>
    <t>Forestry &amp; Fisheries</t>
  </si>
  <si>
    <t>Softwood (Implied)[r]</t>
  </si>
  <si>
    <t>$/m3</t>
  </si>
  <si>
    <t>Hardwood (Implied)[r]</t>
  </si>
  <si>
    <t>Fish &amp; Other Seafood (Consumer Price Index)</t>
  </si>
  <si>
    <r>
      <rPr>
        <vertAlign val="superscript"/>
        <sz val="9"/>
        <color theme="1"/>
        <rFont val="Arial"/>
        <family val="2"/>
      </rPr>
      <t>r</t>
    </r>
    <r>
      <rPr>
        <sz val="9"/>
        <color theme="1"/>
        <rFont val="Arial"/>
        <family val="2"/>
      </rPr>
      <t xml:space="preserve"> Implied price basis ABARES (2018c) GVP &amp; production data</t>
    </r>
  </si>
  <si>
    <t>Industry Exports - Total &amp; Top 3 Destinations</t>
  </si>
  <si>
    <t>Barley[j]</t>
  </si>
  <si>
    <t>Cotton Lint[j]</t>
  </si>
  <si>
    <t>Horticulture Sub-total[h]</t>
  </si>
  <si>
    <t>Wine Grapes[h]</t>
  </si>
  <si>
    <t>Goat</t>
  </si>
  <si>
    <t>Forestry &amp; Fisheries Sub-total</t>
  </si>
  <si>
    <t>Other Commodities Sub-total[i]</t>
  </si>
  <si>
    <t>TOTAL EXPORTS</t>
  </si>
  <si>
    <r>
      <rPr>
        <vertAlign val="superscript"/>
        <sz val="9"/>
        <color theme="1"/>
        <rFont val="Arial"/>
        <family val="2"/>
      </rPr>
      <t xml:space="preserve">h </t>
    </r>
    <r>
      <rPr>
        <sz val="9"/>
        <color theme="1"/>
        <rFont val="Arial"/>
        <family val="2"/>
      </rPr>
      <t>Wine is excluded from the total, due to classification wine becomes a processed product post farm gate and therefore excluded</t>
    </r>
  </si>
  <si>
    <r>
      <rPr>
        <vertAlign val="superscript"/>
        <sz val="9"/>
        <color theme="1"/>
        <rFont val="Arial"/>
        <family val="2"/>
      </rPr>
      <t xml:space="preserve">i </t>
    </r>
    <r>
      <rPr>
        <sz val="9"/>
        <color theme="1"/>
        <rFont val="Arial"/>
        <family val="2"/>
      </rPr>
      <t>Includes but not exclusive to other cereals, other broadacre crops, hay &amp; silage, animal products n.e.d</t>
    </r>
  </si>
  <si>
    <r>
      <rPr>
        <vertAlign val="superscript"/>
        <sz val="9"/>
        <color theme="1"/>
        <rFont val="Arial"/>
        <family val="2"/>
      </rPr>
      <t>j</t>
    </r>
    <r>
      <rPr>
        <sz val="9"/>
        <color theme="1"/>
        <rFont val="Arial"/>
        <family val="2"/>
      </rPr>
      <t xml:space="preserve"> Due to confidentiality, ABS export data restrictions have been applied and values are under-reported as a result</t>
    </r>
  </si>
  <si>
    <t xml:space="preserve">Industry Imports - Total </t>
  </si>
  <si>
    <t>TOTAL IMPORTS</t>
  </si>
  <si>
    <t xml:space="preserve">Industry Trade Balance - Total </t>
  </si>
  <si>
    <t>TOTAL TRADE BALANCE</t>
  </si>
  <si>
    <t>Jobs &amp; Businesses Agreggated</t>
  </si>
  <si>
    <t>ANZSIC Code</t>
  </si>
  <si>
    <t>Directly employed[l]</t>
  </si>
  <si>
    <t>Manufacturing Employment[l]</t>
  </si>
  <si>
    <t>Direct Businesses[m]</t>
  </si>
  <si>
    <t>Manufacturing Businesses[m]</t>
  </si>
  <si>
    <t>2020-21</t>
  </si>
  <si>
    <t>Agriculture</t>
  </si>
  <si>
    <t>No.</t>
  </si>
  <si>
    <t>Support Services</t>
  </si>
  <si>
    <t>Total</t>
  </si>
  <si>
    <t>Sources</t>
  </si>
  <si>
    <t>Australian Bureau of Statistics (2021). 6291.0 Labour force, Australia - Detailed Quarterly, Aug 2021. Last accessed September 2021</t>
  </si>
  <si>
    <t>Jobs &amp; Businesses By Industry Group</t>
  </si>
  <si>
    <t>Agriculture, Forestry and Fishing Sub-total</t>
  </si>
  <si>
    <t>A00 Agriculture, Forestry and Fishing nfd</t>
  </si>
  <si>
    <t>Agriculture Sub-total</t>
  </si>
  <si>
    <t>010 Agriculture nfd</t>
  </si>
  <si>
    <t>011 Nursery and Floriculture Production</t>
  </si>
  <si>
    <t>012 Mushroom and Vegetable Growing</t>
  </si>
  <si>
    <t>013 Fruit and Tree Nut Growing</t>
  </si>
  <si>
    <t>014 Sheep, Beef Cattle and Grain Farming</t>
  </si>
  <si>
    <t>015 Other Crop Growing</t>
  </si>
  <si>
    <t>016 Dairy Cattle Farming</t>
  </si>
  <si>
    <t>017 Poultry Farming</t>
  </si>
  <si>
    <t>018 Deer Farming</t>
  </si>
  <si>
    <t>019 Other Livestock Farming</t>
  </si>
  <si>
    <t>Aquaculture Sub-total</t>
  </si>
  <si>
    <t>020 Aquaculture</t>
  </si>
  <si>
    <t>Forestry and Logging Sub-total</t>
  </si>
  <si>
    <t>030 Forestry and Logging</t>
  </si>
  <si>
    <t>Fishing, Hunting and Trapping Sub-total</t>
  </si>
  <si>
    <t>040 Fishing, Hunting and Trapping nfd</t>
  </si>
  <si>
    <t>041 Fishing</t>
  </si>
  <si>
    <t>042 Hunting and Trapping</t>
  </si>
  <si>
    <t>Agriculture, Forestry and Fishing Support Services Sub-total</t>
  </si>
  <si>
    <t>050 Agriculture, Forestry and Fishing Support Services nfd</t>
  </si>
  <si>
    <t>051 Forestry Support Services</t>
  </si>
  <si>
    <t>052 Agriculture and Fishing Support Services</t>
  </si>
  <si>
    <t>Food Product Manufacturing Sub-total</t>
  </si>
  <si>
    <t>110 Food Product Manufacturing nfd</t>
  </si>
  <si>
    <t>111 Meat and Meat Product Manufacturing</t>
  </si>
  <si>
    <t>112 Seafood Processing</t>
  </si>
  <si>
    <t>113 Dairy Product Manufacturing</t>
  </si>
  <si>
    <t>114 Fruit and Vegetable Processing</t>
  </si>
  <si>
    <t>115 Oil and Fat Manufacturing</t>
  </si>
  <si>
    <t>116 Grain Mill and Cereal Product Manufacturing</t>
  </si>
  <si>
    <t>117 Bakery Product Manufacturing</t>
  </si>
  <si>
    <t>118 Sugar and Confectionery Manufacturing</t>
  </si>
  <si>
    <t>119 Other Food Product Manufacturing</t>
  </si>
  <si>
    <t>Wood Product Manufacturing Sub-total</t>
  </si>
  <si>
    <t>141 Log Sawmilling and Timber Dressing</t>
  </si>
  <si>
    <t>149 Other Wood Product Manufacturing</t>
  </si>
  <si>
    <t>Pulp, Paper and Converted Paper Product Manufacturing Sub-total</t>
  </si>
  <si>
    <t>150 Pulp, Paper and Converted Paper Product Manufacturing nfd</t>
  </si>
  <si>
    <t>151 Pulp, Paper and Paperboard Manufacturing</t>
  </si>
  <si>
    <t>152 Converted Paper Product Manufacturing</t>
  </si>
  <si>
    <t>b Includes other broadacre crops, hay &amp; silage</t>
  </si>
  <si>
    <r>
      <rPr>
        <vertAlign val="superscript"/>
        <sz val="9"/>
        <color theme="1"/>
        <rFont val="Arial"/>
        <family val="2"/>
      </rPr>
      <t xml:space="preserve">b </t>
    </r>
    <r>
      <rPr>
        <sz val="9"/>
        <color theme="1"/>
        <rFont val="Arial"/>
        <family val="2"/>
      </rPr>
      <t>Includes other cereals, other broadacre crops, hay &amp; silage</t>
    </r>
  </si>
  <si>
    <r>
      <rPr>
        <vertAlign val="superscript"/>
        <sz val="9"/>
        <color theme="1"/>
        <rFont val="Arial"/>
        <family val="2"/>
      </rPr>
      <t>j</t>
    </r>
    <r>
      <rPr>
        <sz val="9"/>
        <color theme="1"/>
        <rFont val="Arial"/>
        <family val="2"/>
      </rPr>
      <t xml:space="preserve"> Barley reporting restrictions apply &amp; data may not reflect the full trade value</t>
    </r>
  </si>
  <si>
    <r>
      <rPr>
        <i/>
        <vertAlign val="superscript"/>
        <sz val="9"/>
        <color theme="1"/>
        <rFont val="Arial"/>
        <family val="2"/>
      </rPr>
      <t xml:space="preserve">z </t>
    </r>
    <r>
      <rPr>
        <sz val="9"/>
        <color theme="1"/>
        <rFont val="Arial"/>
        <family val="2"/>
      </rPr>
      <t>Hunting, Recreational &amp; Charter fishing output value is an estimate of participant expenditure on these activities</t>
    </r>
  </si>
  <si>
    <t>ABS (2021a) + DPI (2021e)</t>
  </si>
  <si>
    <t>ABARES (2021g)</t>
  </si>
  <si>
    <t>ABS (2021b)</t>
  </si>
  <si>
    <t>ABS (2021f)</t>
  </si>
  <si>
    <t>ABS (2021b) + WA (2021)</t>
  </si>
  <si>
    <t>ABARES (2021g) + AWEX (2021)</t>
  </si>
  <si>
    <t>ABARES (2021i)</t>
  </si>
  <si>
    <t>DPI (2021i)</t>
  </si>
  <si>
    <t xml:space="preserve">ABARES (2021j) </t>
  </si>
  <si>
    <t>ABARES (2021j)</t>
  </si>
  <si>
    <t>ABS (2021h)</t>
  </si>
  <si>
    <t>ABS (2020)</t>
  </si>
  <si>
    <r>
      <rPr>
        <vertAlign val="superscript"/>
        <sz val="9"/>
        <color theme="1"/>
        <rFont val="Arial"/>
        <family val="2"/>
      </rPr>
      <t xml:space="preserve">l </t>
    </r>
    <r>
      <rPr>
        <sz val="9"/>
        <color theme="1"/>
        <rFont val="Arial"/>
        <family val="2"/>
      </rPr>
      <t>DPI estimate calculated as average total employment over four quarters to May 2021 of labour force employment data by relevant to each industry. Relevant ANZSIC divisions are Agriculture, Forestry and Fishing (division A) and relevant sub divisions of Manufacturing (division C). Data was sourced from ABS (2021h)</t>
    </r>
  </si>
  <si>
    <r>
      <rPr>
        <vertAlign val="superscript"/>
        <sz val="9"/>
        <color theme="1"/>
        <rFont val="Arial"/>
        <family val="2"/>
      </rPr>
      <t>m</t>
    </r>
    <r>
      <rPr>
        <sz val="9"/>
        <color theme="1"/>
        <rFont val="Arial"/>
        <family val="2"/>
      </rPr>
      <t xml:space="preserve"> DPI estimate using the same ANZSIC classifications in footnote l. Data is based on June 2019 using source ABS (2020)</t>
    </r>
  </si>
  <si>
    <r>
      <rPr>
        <vertAlign val="superscript"/>
        <sz val="9"/>
        <color theme="1"/>
        <rFont val="Arial"/>
        <family val="2"/>
      </rPr>
      <t xml:space="preserve">l </t>
    </r>
    <r>
      <rPr>
        <sz val="9"/>
        <color theme="1"/>
        <rFont val="Arial"/>
        <family val="2"/>
      </rPr>
      <t>DPI estimate calculated as average total employment over four quarters to May 2020 of labour force employment data by relevant to each industry. Relevant ANZSIC divisions are Agriculture, Forestry and Fishing (division A) and relevant sub divisions of Manufacturing (division C). Data was sourced from ABS (2021h)</t>
    </r>
  </si>
  <si>
    <r>
      <rPr>
        <vertAlign val="superscript"/>
        <sz val="9"/>
        <color theme="1"/>
        <rFont val="Arial"/>
        <family val="2"/>
      </rPr>
      <t>r</t>
    </r>
    <r>
      <rPr>
        <sz val="9"/>
        <color theme="1"/>
        <rFont val="Arial"/>
        <family val="2"/>
      </rPr>
      <t xml:space="preserve"> Implied price basis ABARES (2021j) GVP &amp; production data</t>
    </r>
  </si>
  <si>
    <r>
      <rPr>
        <vertAlign val="superscript"/>
        <sz val="9"/>
        <color theme="1"/>
        <rFont val="Arial"/>
        <family val="2"/>
      </rPr>
      <t xml:space="preserve">w </t>
    </r>
    <r>
      <rPr>
        <sz val="9"/>
        <color theme="1"/>
        <rFont val="Arial"/>
        <family val="2"/>
      </rPr>
      <t>Data is wine grape crush data sourced from WA (2021), which is separate to production data provided by the ABS</t>
    </r>
  </si>
  <si>
    <t>Gross Value of Production[o]</t>
  </si>
  <si>
    <t>TOTAL Output</t>
  </si>
  <si>
    <t>RMCG (2017)</t>
  </si>
  <si>
    <t>RMCG (2017). Economic impact of recreational hunting in NSW, May 2017. Last accessed September 2021.</t>
  </si>
  <si>
    <t>UOW (2013)</t>
  </si>
  <si>
    <t>University of Wollongong (2013). Developing a cost effective state wide expenditure survey method to measure the economic contribution of the recreational fishing sector in NSW, November 2013. Last accessed September 2021.</t>
  </si>
  <si>
    <t>DOMINION (2014)</t>
  </si>
  <si>
    <t>Dominion Consulting (2014), An economic survey of the Recreational fishing charter boat industry in NSW, July 2014</t>
  </si>
  <si>
    <t>ABS (2021)</t>
  </si>
  <si>
    <t>Australian Bureau of Statistics (2021), Counts of Australian Businesses, including Entries and Exits June 2021, last accessed December 2021 &lt;http://www.abs.gov.au/ausstats/abs@.nsf/mf/8165.0&gt;</t>
  </si>
  <si>
    <t>ABS (2021i)</t>
  </si>
  <si>
    <r>
      <rPr>
        <vertAlign val="superscript"/>
        <sz val="9"/>
        <color theme="1"/>
        <rFont val="Arial"/>
        <family val="2"/>
      </rPr>
      <t>m</t>
    </r>
    <r>
      <rPr>
        <sz val="9"/>
        <color theme="1"/>
        <rFont val="Arial"/>
        <family val="2"/>
      </rPr>
      <t xml:space="preserve"> DPI estimate using the same ANZSIC classifications in footnote l. Data is based on June 2021 using source ABS (2021i)</t>
    </r>
  </si>
  <si>
    <t>As at 30 June 2021</t>
  </si>
  <si>
    <t>Dairy Australia (2021), NSW Milk Production Report June 2021, last accessed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</si>
</sst>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43" formatCode="_-* #,##0.00_-;\-* #,##0.00_-;_-* &quot;-&quot;??_-;_-@_-"/>
    <numFmt numFmtId="164" formatCode="_-* #,##0_-;\-* #,##0_-;_-* &quot;-&quot;??_-;_-@_-"/>
    <numFmt numFmtId="165" formatCode="&quot;$&quot;#,##0.0;[Red]\-&quot;$&quot;#,##0.0"/>
    <numFmt numFmtId="166" formatCode="#,##0.0"/>
    <numFmt numFmtId="167" formatCode="0.0%"/>
    <numFmt numFmtId="168" formatCode="_-* #,##0.0_-;\-* #,##0.0_-;_-* &quot;-&quot;??_-;_-@_-"/>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0"/>
      <color theme="10"/>
      <name val="Arial"/>
      <family val="2"/>
    </font>
    <font>
      <b/>
      <i/>
      <sz val="9"/>
      <color theme="1"/>
      <name val="Arial"/>
      <family val="2"/>
    </font>
    <font>
      <i/>
      <sz val="9"/>
      <color theme="1"/>
      <name val="Arial"/>
      <family val="2"/>
    </font>
    <font>
      <b/>
      <sz val="9"/>
      <color theme="1"/>
      <name val="Arial"/>
      <family val="2"/>
    </font>
    <font>
      <sz val="9"/>
      <color theme="1"/>
      <name val="Arial"/>
      <family val="2"/>
    </font>
    <font>
      <vertAlign val="superscript"/>
      <sz val="9"/>
      <color theme="1"/>
      <name val="Arial"/>
      <family val="2"/>
    </font>
    <font>
      <b/>
      <sz val="9"/>
      <name val="Arial"/>
      <family val="2"/>
    </font>
    <font>
      <i/>
      <sz val="9"/>
      <name val="Arial"/>
      <family val="2"/>
    </font>
    <font>
      <i/>
      <vertAlign val="superscript"/>
      <sz val="9"/>
      <color theme="1"/>
      <name val="Arial"/>
      <family val="2"/>
    </font>
    <font>
      <b/>
      <i/>
      <sz val="9"/>
      <name val="Arial"/>
      <family val="2"/>
    </font>
    <font>
      <b/>
      <sz val="9"/>
      <color rgb="FFFF0000"/>
      <name val="Arial"/>
      <family val="2"/>
    </font>
    <font>
      <sz val="9"/>
      <name val="Arial"/>
      <family val="2"/>
    </font>
    <font>
      <b/>
      <sz val="11"/>
      <color theme="0"/>
      <name val="Arial"/>
      <family val="2"/>
    </font>
    <font>
      <b/>
      <sz val="9"/>
      <color theme="0"/>
      <name val="Arial"/>
      <family val="2"/>
    </font>
    <font>
      <sz val="11"/>
      <name val="Calibri"/>
      <family val="2"/>
      <scheme val="minor"/>
    </font>
    <font>
      <b/>
      <sz val="9"/>
      <color rgb="FF000000"/>
      <name val="Arial"/>
      <family val="2"/>
    </font>
    <font>
      <sz val="9"/>
      <color rgb="FF000000"/>
      <name val="Arial"/>
      <family val="2"/>
    </font>
  </fonts>
  <fills count="7">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rgb="FFD9E1F2"/>
        <bgColor indexed="64"/>
      </patternFill>
    </fill>
    <fill>
      <patternFill patternType="solid">
        <fgColor theme="0"/>
        <bgColor indexed="64"/>
      </patternFill>
    </fill>
    <fill>
      <patternFill patternType="solid">
        <fgColor rgb="FFDDEBF7"/>
        <bgColor rgb="FF000000"/>
      </patternFill>
    </fill>
  </fills>
  <borders count="12">
    <border>
      <left/>
      <right/>
      <top/>
      <bottom/>
      <diagonal/>
    </border>
    <border>
      <left style="thin">
        <color theme="0"/>
      </left>
      <right style="thin">
        <color theme="0"/>
      </right>
      <top style="thin">
        <color theme="0"/>
      </top>
      <bottom style="thin">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diagonal/>
    </border>
    <border>
      <left/>
      <right style="thin">
        <color indexed="64"/>
      </right>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rgb="FF808080"/>
      </left>
      <right style="thin">
        <color rgb="FF808080"/>
      </right>
      <top style="thin">
        <color rgb="FF808080"/>
      </top>
      <bottom style="thin">
        <color rgb="FF80808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59">
    <xf numFmtId="0" fontId="0" fillId="0" borderId="0" xfId="0"/>
    <xf numFmtId="0" fontId="3" fillId="0" borderId="1" xfId="0" applyFont="1" applyBorder="1"/>
    <xf numFmtId="0" fontId="4" fillId="0" borderId="1" xfId="0" applyFont="1" applyBorder="1"/>
    <xf numFmtId="49" fontId="4" fillId="0" borderId="1" xfId="0" applyNumberFormat="1" applyFont="1" applyBorder="1" applyAlignment="1">
      <alignment horizontal="left"/>
    </xf>
    <xf numFmtId="0" fontId="5" fillId="0" borderId="1" xfId="3" applyFont="1" applyBorder="1"/>
    <xf numFmtId="0" fontId="6" fillId="0" borderId="2" xfId="0" applyFont="1" applyBorder="1"/>
    <xf numFmtId="0" fontId="7" fillId="0" borderId="2" xfId="0" applyFont="1" applyBorder="1"/>
    <xf numFmtId="3" fontId="7" fillId="0" borderId="2" xfId="1" applyNumberFormat="1" applyFont="1" applyBorder="1"/>
    <xf numFmtId="164" fontId="7" fillId="0" borderId="2" xfId="1" applyNumberFormat="1" applyFont="1" applyBorder="1"/>
    <xf numFmtId="0" fontId="8" fillId="0" borderId="2" xfId="0" applyFont="1" applyBorder="1"/>
    <xf numFmtId="164" fontId="8" fillId="0" borderId="2" xfId="1" applyNumberFormat="1" applyFont="1" applyBorder="1"/>
    <xf numFmtId="0" fontId="9" fillId="0" borderId="2" xfId="0" applyFont="1" applyBorder="1"/>
    <xf numFmtId="0" fontId="9" fillId="0" borderId="10" xfId="0" applyFont="1" applyBorder="1"/>
    <xf numFmtId="0" fontId="9" fillId="0" borderId="0" xfId="0" applyFont="1"/>
    <xf numFmtId="164" fontId="9" fillId="0" borderId="0" xfId="0" applyNumberFormat="1" applyFont="1"/>
    <xf numFmtId="0" fontId="8" fillId="0" borderId="2" xfId="0" applyFont="1" applyBorder="1" applyAlignment="1">
      <alignment horizontal="left"/>
    </xf>
    <xf numFmtId="164" fontId="8" fillId="0" borderId="2" xfId="1" applyNumberFormat="1" applyFont="1" applyBorder="1" applyAlignment="1">
      <alignment horizontal="left" indent="3"/>
    </xf>
    <xf numFmtId="0" fontId="7" fillId="0" borderId="2" xfId="0" applyFont="1" applyBorder="1" applyAlignment="1">
      <alignment horizontal="left" indent="3"/>
    </xf>
    <xf numFmtId="0" fontId="8" fillId="0" borderId="2" xfId="0" applyFont="1" applyBorder="1" applyAlignment="1">
      <alignment horizontal="left" indent="1"/>
    </xf>
    <xf numFmtId="0" fontId="6" fillId="0" borderId="2" xfId="0" applyFont="1" applyBorder="1" applyAlignment="1">
      <alignment horizontal="right" wrapText="1"/>
    </xf>
    <xf numFmtId="164" fontId="8" fillId="0" borderId="2" xfId="0" applyNumberFormat="1" applyFont="1" applyBorder="1"/>
    <xf numFmtId="9" fontId="11" fillId="0" borderId="2" xfId="2" applyFont="1" applyBorder="1" applyAlignment="1">
      <alignment horizontal="right"/>
    </xf>
    <xf numFmtId="0" fontId="7" fillId="0" borderId="2" xfId="0" applyFont="1" applyBorder="1" applyAlignment="1">
      <alignment horizontal="left" indent="1"/>
    </xf>
    <xf numFmtId="9" fontId="12" fillId="0" borderId="2" xfId="2" applyFont="1" applyBorder="1" applyAlignment="1">
      <alignment horizontal="right"/>
    </xf>
    <xf numFmtId="3" fontId="12" fillId="0" borderId="2" xfId="2" applyNumberFormat="1" applyFont="1" applyBorder="1" applyAlignment="1">
      <alignment horizontal="right"/>
    </xf>
    <xf numFmtId="164" fontId="9" fillId="0" borderId="2" xfId="1" applyNumberFormat="1" applyFont="1" applyBorder="1"/>
    <xf numFmtId="0" fontId="14" fillId="0" borderId="0" xfId="0" applyFont="1"/>
    <xf numFmtId="0" fontId="7" fillId="0" borderId="0" xfId="0" applyFont="1"/>
    <xf numFmtId="0" fontId="7" fillId="0" borderId="0" xfId="0" applyFont="1" applyAlignment="1">
      <alignment horizontal="right"/>
    </xf>
    <xf numFmtId="0" fontId="9" fillId="0" borderId="0" xfId="0" applyFont="1" applyAlignment="1">
      <alignment horizontal="right"/>
    </xf>
    <xf numFmtId="165" fontId="8" fillId="0" borderId="2" xfId="0" applyNumberFormat="1" applyFont="1" applyBorder="1"/>
    <xf numFmtId="165" fontId="11" fillId="0" borderId="2" xfId="2" applyNumberFormat="1" applyFont="1" applyBorder="1" applyAlignment="1">
      <alignment horizontal="right"/>
    </xf>
    <xf numFmtId="165" fontId="7" fillId="0" borderId="2" xfId="1" applyNumberFormat="1" applyFont="1" applyBorder="1"/>
    <xf numFmtId="165" fontId="8" fillId="0" borderId="2" xfId="1" applyNumberFormat="1" applyFont="1" applyBorder="1"/>
    <xf numFmtId="165" fontId="11" fillId="0" borderId="2" xfId="1" applyNumberFormat="1" applyFont="1" applyBorder="1"/>
    <xf numFmtId="165" fontId="11" fillId="0" borderId="2" xfId="0" applyNumberFormat="1" applyFont="1" applyBorder="1"/>
    <xf numFmtId="165" fontId="12" fillId="0" borderId="2" xfId="2" applyNumberFormat="1" applyFont="1" applyBorder="1" applyAlignment="1">
      <alignment horizontal="right"/>
    </xf>
    <xf numFmtId="0" fontId="7" fillId="0" borderId="2" xfId="0" applyFont="1" applyBorder="1" applyAlignment="1">
      <alignment horizontal="right" indent="1"/>
    </xf>
    <xf numFmtId="168" fontId="7" fillId="0" borderId="2" xfId="1" applyNumberFormat="1" applyFont="1" applyBorder="1"/>
    <xf numFmtId="6" fontId="7" fillId="0" borderId="2" xfId="0" applyNumberFormat="1" applyFont="1" applyBorder="1" applyAlignment="1">
      <alignment horizontal="right" indent="1"/>
    </xf>
    <xf numFmtId="0" fontId="6" fillId="0" borderId="2" xfId="0" applyFont="1" applyBorder="1" applyAlignment="1">
      <alignment wrapText="1"/>
    </xf>
    <xf numFmtId="164" fontId="15" fillId="0" borderId="2" xfId="0" applyNumberFormat="1" applyFont="1" applyBorder="1"/>
    <xf numFmtId="9" fontId="15" fillId="0" borderId="2" xfId="2" applyFont="1" applyBorder="1"/>
    <xf numFmtId="165" fontId="9" fillId="0" borderId="2" xfId="1" applyNumberFormat="1" applyFont="1" applyBorder="1"/>
    <xf numFmtId="9" fontId="16" fillId="0" borderId="2" xfId="2" applyFont="1" applyBorder="1"/>
    <xf numFmtId="165" fontId="16" fillId="0" borderId="2" xfId="2" applyNumberFormat="1" applyFont="1" applyBorder="1"/>
    <xf numFmtId="9" fontId="8" fillId="0" borderId="2" xfId="2" applyFont="1" applyBorder="1"/>
    <xf numFmtId="3" fontId="8" fillId="0" borderId="2" xfId="2" applyNumberFormat="1" applyFont="1" applyBorder="1"/>
    <xf numFmtId="168" fontId="9" fillId="0" borderId="2" xfId="1" applyNumberFormat="1" applyFont="1" applyBorder="1"/>
    <xf numFmtId="9" fontId="9" fillId="0" borderId="2" xfId="2" applyFont="1" applyBorder="1"/>
    <xf numFmtId="168" fontId="9" fillId="0" borderId="2" xfId="2" applyNumberFormat="1" applyFont="1" applyBorder="1"/>
    <xf numFmtId="9" fontId="9" fillId="0" borderId="2" xfId="1" applyNumberFormat="1" applyFont="1" applyBorder="1"/>
    <xf numFmtId="0" fontId="9" fillId="3" borderId="5" xfId="0" applyFont="1" applyFill="1" applyBorder="1" applyAlignment="1">
      <alignment horizontal="left" indent="1"/>
    </xf>
    <xf numFmtId="166" fontId="9" fillId="0" borderId="2" xfId="1" applyNumberFormat="1" applyFont="1" applyBorder="1"/>
    <xf numFmtId="0" fontId="7" fillId="3" borderId="4" xfId="0" applyFont="1" applyFill="1" applyBorder="1"/>
    <xf numFmtId="165" fontId="9" fillId="0" borderId="2" xfId="2" applyNumberFormat="1" applyFont="1" applyBorder="1"/>
    <xf numFmtId="166" fontId="9" fillId="0" borderId="2" xfId="2" applyNumberFormat="1" applyFont="1" applyBorder="1"/>
    <xf numFmtId="164" fontId="15" fillId="0" borderId="2" xfId="0" applyNumberFormat="1" applyFont="1" applyBorder="1" applyAlignment="1">
      <alignment horizontal="right"/>
    </xf>
    <xf numFmtId="9" fontId="15" fillId="0" borderId="2" xfId="2" applyFont="1" applyBorder="1" applyAlignment="1">
      <alignment horizontal="right"/>
    </xf>
    <xf numFmtId="164" fontId="7" fillId="0" borderId="2" xfId="1" applyNumberFormat="1" applyFont="1" applyBorder="1" applyAlignment="1">
      <alignment horizontal="right"/>
    </xf>
    <xf numFmtId="9" fontId="7" fillId="0" borderId="2" xfId="1" applyNumberFormat="1" applyFont="1" applyBorder="1" applyAlignment="1">
      <alignment horizontal="right"/>
    </xf>
    <xf numFmtId="9" fontId="7" fillId="0" borderId="2" xfId="1" applyNumberFormat="1" applyFont="1" applyBorder="1"/>
    <xf numFmtId="164" fontId="11" fillId="0" borderId="2" xfId="1" applyNumberFormat="1" applyFont="1" applyBorder="1" applyAlignment="1">
      <alignment horizontal="right"/>
    </xf>
    <xf numFmtId="164" fontId="15" fillId="0" borderId="2" xfId="1" applyNumberFormat="1" applyFont="1" applyBorder="1" applyAlignment="1">
      <alignment horizontal="right"/>
    </xf>
    <xf numFmtId="3" fontId="15" fillId="0" borderId="2" xfId="2" applyNumberFormat="1" applyFont="1" applyBorder="1" applyAlignment="1">
      <alignment horizontal="right"/>
    </xf>
    <xf numFmtId="164" fontId="12" fillId="0" borderId="2" xfId="1" applyNumberFormat="1" applyFont="1" applyBorder="1" applyAlignment="1">
      <alignment horizontal="right"/>
    </xf>
    <xf numFmtId="166" fontId="7" fillId="0" borderId="2" xfId="1" applyNumberFormat="1" applyFont="1" applyBorder="1"/>
    <xf numFmtId="164" fontId="12" fillId="0" borderId="2" xfId="1" applyNumberFormat="1" applyFont="1" applyBorder="1"/>
    <xf numFmtId="165" fontId="8" fillId="0" borderId="2" xfId="0" applyNumberFormat="1" applyFont="1" applyBorder="1" applyAlignment="1">
      <alignment horizontal="right"/>
    </xf>
    <xf numFmtId="9" fontId="8" fillId="0" borderId="2" xfId="0" applyNumberFormat="1" applyFont="1" applyBorder="1" applyAlignment="1">
      <alignment horizontal="right"/>
    </xf>
    <xf numFmtId="4" fontId="8" fillId="0" borderId="2" xfId="0" applyNumberFormat="1" applyFont="1" applyBorder="1" applyAlignment="1">
      <alignment horizontal="right"/>
    </xf>
    <xf numFmtId="165" fontId="9" fillId="0" borderId="0" xfId="0" applyNumberFormat="1" applyFont="1"/>
    <xf numFmtId="0" fontId="8" fillId="0" borderId="2" xfId="0" applyFont="1" applyBorder="1" applyAlignment="1">
      <alignment horizontal="center"/>
    </xf>
    <xf numFmtId="0" fontId="7" fillId="0" borderId="2" xfId="0" applyFont="1" applyBorder="1" applyAlignment="1">
      <alignment horizontal="center"/>
    </xf>
    <xf numFmtId="165" fontId="9" fillId="0" borderId="2" xfId="0" applyNumberFormat="1" applyFont="1" applyBorder="1" applyAlignment="1">
      <alignment horizontal="right"/>
    </xf>
    <xf numFmtId="9" fontId="9" fillId="0" borderId="2" xfId="0" applyNumberFormat="1" applyFont="1" applyBorder="1" applyAlignment="1">
      <alignment horizontal="right"/>
    </xf>
    <xf numFmtId="4" fontId="9" fillId="0" borderId="2" xfId="0" applyNumberFormat="1" applyFont="1" applyBorder="1" applyAlignment="1">
      <alignment horizontal="right"/>
    </xf>
    <xf numFmtId="0" fontId="9" fillId="3" borderId="5" xfId="0" applyFont="1" applyFill="1" applyBorder="1"/>
    <xf numFmtId="0" fontId="9" fillId="3" borderId="0" xfId="0" applyFont="1" applyFill="1"/>
    <xf numFmtId="0" fontId="9" fillId="3" borderId="6" xfId="0" applyFont="1" applyFill="1" applyBorder="1"/>
    <xf numFmtId="165" fontId="9" fillId="4" borderId="0" xfId="0" applyNumberFormat="1" applyFont="1" applyFill="1"/>
    <xf numFmtId="9" fontId="16" fillId="4" borderId="0" xfId="2" applyFont="1" applyFill="1" applyAlignment="1">
      <alignment horizontal="right"/>
    </xf>
    <xf numFmtId="164" fontId="16" fillId="4" borderId="0" xfId="1" applyNumberFormat="1" applyFont="1" applyFill="1" applyAlignment="1"/>
    <xf numFmtId="0" fontId="9" fillId="4" borderId="0" xfId="0" applyFont="1" applyFill="1"/>
    <xf numFmtId="0" fontId="9" fillId="4" borderId="4" xfId="0" applyFont="1" applyFill="1" applyBorder="1"/>
    <xf numFmtId="0" fontId="9" fillId="3" borderId="6" xfId="0" quotePrefix="1" applyFont="1" applyFill="1" applyBorder="1"/>
    <xf numFmtId="4" fontId="9" fillId="4" borderId="0" xfId="0" applyNumberFormat="1" applyFont="1" applyFill="1"/>
    <xf numFmtId="166" fontId="9" fillId="4" borderId="0" xfId="0" applyNumberFormat="1" applyFont="1" applyFill="1"/>
    <xf numFmtId="0" fontId="9" fillId="3" borderId="0" xfId="0" applyFont="1" applyFill="1" applyAlignment="1">
      <alignment horizontal="left"/>
    </xf>
    <xf numFmtId="0" fontId="16" fillId="3" borderId="0" xfId="0" applyFont="1" applyFill="1" applyAlignment="1">
      <alignment horizontal="left"/>
    </xf>
    <xf numFmtId="0" fontId="9" fillId="3" borderId="7" xfId="0" applyFont="1" applyFill="1" applyBorder="1"/>
    <xf numFmtId="0" fontId="9" fillId="3" borderId="8" xfId="0" applyFont="1" applyFill="1" applyBorder="1" applyAlignment="1">
      <alignment horizontal="left"/>
    </xf>
    <xf numFmtId="0" fontId="9" fillId="3" borderId="9" xfId="0" applyFont="1" applyFill="1" applyBorder="1"/>
    <xf numFmtId="8" fontId="9" fillId="4" borderId="0" xfId="0" applyNumberFormat="1" applyFont="1" applyFill="1"/>
    <xf numFmtId="9" fontId="16" fillId="3" borderId="0" xfId="2" applyFont="1" applyFill="1" applyAlignment="1">
      <alignment horizontal="right"/>
    </xf>
    <xf numFmtId="164" fontId="16" fillId="3" borderId="0" xfId="1" applyNumberFormat="1" applyFont="1" applyFill="1" applyAlignment="1"/>
    <xf numFmtId="0" fontId="16" fillId="3" borderId="4" xfId="0" applyFont="1" applyFill="1" applyBorder="1"/>
    <xf numFmtId="0" fontId="9" fillId="3" borderId="4" xfId="0" applyFont="1" applyFill="1" applyBorder="1"/>
    <xf numFmtId="0" fontId="9" fillId="3" borderId="3" xfId="0" applyFont="1" applyFill="1" applyBorder="1"/>
    <xf numFmtId="0" fontId="9" fillId="3" borderId="4" xfId="0" quotePrefix="1" applyFont="1" applyFill="1" applyBorder="1"/>
    <xf numFmtId="167" fontId="9" fillId="4" borderId="0" xfId="0" applyNumberFormat="1" applyFont="1" applyFill="1"/>
    <xf numFmtId="0" fontId="16" fillId="4" borderId="4" xfId="0" applyFont="1" applyFill="1" applyBorder="1"/>
    <xf numFmtId="0" fontId="16" fillId="4" borderId="0" xfId="0" applyFont="1" applyFill="1"/>
    <xf numFmtId="2" fontId="9" fillId="4" borderId="0" xfId="0" applyNumberFormat="1" applyFont="1" applyFill="1"/>
    <xf numFmtId="9" fontId="9" fillId="4" borderId="0" xfId="0" applyNumberFormat="1" applyFont="1" applyFill="1"/>
    <xf numFmtId="3" fontId="9" fillId="4" borderId="0" xfId="0" applyNumberFormat="1" applyFont="1" applyFill="1"/>
    <xf numFmtId="0" fontId="16" fillId="3" borderId="0" xfId="0" applyFont="1" applyFill="1"/>
    <xf numFmtId="166" fontId="16" fillId="4" borderId="0" xfId="1" applyNumberFormat="1" applyFont="1" applyFill="1" applyAlignment="1">
      <alignment horizontal="right"/>
    </xf>
    <xf numFmtId="168" fontId="9" fillId="4" borderId="0" xfId="1" applyNumberFormat="1" applyFont="1" applyFill="1"/>
    <xf numFmtId="168" fontId="16" fillId="4" borderId="0" xfId="1" applyNumberFormat="1" applyFont="1" applyFill="1" applyAlignment="1">
      <alignment horizontal="right"/>
    </xf>
    <xf numFmtId="6" fontId="9" fillId="4" borderId="0" xfId="0" applyNumberFormat="1" applyFont="1" applyFill="1"/>
    <xf numFmtId="0" fontId="9" fillId="3" borderId="3" xfId="0" applyFont="1" applyFill="1" applyBorder="1" applyAlignment="1">
      <alignment horizontal="left"/>
    </xf>
    <xf numFmtId="6" fontId="16" fillId="3" borderId="0" xfId="0" applyNumberFormat="1" applyFont="1" applyFill="1" applyAlignment="1">
      <alignment horizontal="left"/>
    </xf>
    <xf numFmtId="165" fontId="9" fillId="3" borderId="0" xfId="0" applyNumberFormat="1" applyFont="1" applyFill="1"/>
    <xf numFmtId="3" fontId="9" fillId="3" borderId="0" xfId="0" applyNumberFormat="1" applyFont="1" applyFill="1"/>
    <xf numFmtId="166" fontId="9" fillId="3" borderId="0" xfId="0" applyNumberFormat="1" applyFont="1" applyFill="1"/>
    <xf numFmtId="4" fontId="16" fillId="3" borderId="0" xfId="1" applyNumberFormat="1" applyFont="1" applyFill="1" applyAlignment="1"/>
    <xf numFmtId="6" fontId="9" fillId="3" borderId="0" xfId="0" applyNumberFormat="1" applyFont="1" applyFill="1"/>
    <xf numFmtId="0" fontId="18" fillId="2" borderId="3" xfId="0" applyFont="1" applyFill="1" applyBorder="1"/>
    <xf numFmtId="0" fontId="18" fillId="2" borderId="0" xfId="0" applyFont="1" applyFill="1"/>
    <xf numFmtId="0" fontId="18" fillId="2" borderId="4" xfId="0" applyFont="1" applyFill="1" applyBorder="1"/>
    <xf numFmtId="9" fontId="18" fillId="2" borderId="0" xfId="2" applyFont="1" applyFill="1" applyBorder="1" applyAlignment="1"/>
    <xf numFmtId="0" fontId="17" fillId="2" borderId="0" xfId="0" applyFont="1" applyFill="1"/>
    <xf numFmtId="0" fontId="18" fillId="2" borderId="5" xfId="0" applyFont="1" applyFill="1" applyBorder="1"/>
    <xf numFmtId="0" fontId="18" fillId="2" borderId="6" xfId="0" applyFont="1" applyFill="1" applyBorder="1"/>
    <xf numFmtId="0" fontId="18" fillId="2" borderId="0" xfId="0" applyFont="1" applyFill="1" applyAlignment="1">
      <alignment wrapText="1"/>
    </xf>
    <xf numFmtId="9" fontId="18" fillId="2" borderId="0" xfId="2" applyFont="1" applyFill="1" applyBorder="1" applyAlignment="1">
      <alignment wrapText="1"/>
    </xf>
    <xf numFmtId="0" fontId="6" fillId="0" borderId="0" xfId="0" applyFont="1" applyAlignment="1">
      <alignment horizontal="right"/>
    </xf>
    <xf numFmtId="0" fontId="19" fillId="0" borderId="0" xfId="0" applyFont="1"/>
    <xf numFmtId="3" fontId="8" fillId="0" borderId="2" xfId="1" applyNumberFormat="1" applyFont="1" applyBorder="1" applyAlignment="1">
      <alignment horizontal="right"/>
    </xf>
    <xf numFmtId="0" fontId="0" fillId="5" borderId="0" xfId="0" applyFill="1"/>
    <xf numFmtId="0" fontId="7" fillId="0" borderId="2" xfId="0" applyFont="1" applyFill="1" applyBorder="1" applyAlignment="1">
      <alignment horizontal="right" indent="1"/>
    </xf>
    <xf numFmtId="0" fontId="7" fillId="0" borderId="2" xfId="0" applyFont="1" applyFill="1" applyBorder="1"/>
    <xf numFmtId="165" fontId="7" fillId="0" borderId="2" xfId="1" applyNumberFormat="1" applyFont="1" applyFill="1" applyBorder="1"/>
    <xf numFmtId="9" fontId="12" fillId="0" borderId="2" xfId="2" applyFont="1" applyFill="1" applyBorder="1" applyAlignment="1">
      <alignment horizontal="right"/>
    </xf>
    <xf numFmtId="165" fontId="12" fillId="0" borderId="2" xfId="2" applyNumberFormat="1" applyFont="1" applyFill="1" applyBorder="1" applyAlignment="1">
      <alignment horizontal="right"/>
    </xf>
    <xf numFmtId="168" fontId="7" fillId="0" borderId="2" xfId="1" applyNumberFormat="1" applyFont="1" applyFill="1" applyBorder="1"/>
    <xf numFmtId="0" fontId="7" fillId="0" borderId="2" xfId="0" applyFont="1" applyFill="1" applyBorder="1" applyAlignment="1">
      <alignment horizontal="left" indent="1"/>
    </xf>
    <xf numFmtId="0" fontId="9" fillId="0" borderId="0" xfId="0" applyFont="1" applyFill="1"/>
    <xf numFmtId="165" fontId="12" fillId="0" borderId="2" xfId="1" applyNumberFormat="1" applyFont="1" applyBorder="1"/>
    <xf numFmtId="0" fontId="11" fillId="0" borderId="2" xfId="2" applyNumberFormat="1" applyFont="1" applyBorder="1" applyAlignment="1">
      <alignment horizontal="right"/>
    </xf>
    <xf numFmtId="3" fontId="11" fillId="0" borderId="2" xfId="2" applyNumberFormat="1" applyFont="1" applyBorder="1" applyAlignment="1">
      <alignment horizontal="right"/>
    </xf>
    <xf numFmtId="0" fontId="9" fillId="5" borderId="0" xfId="0" applyFont="1" applyFill="1"/>
    <xf numFmtId="0" fontId="12" fillId="0" borderId="2" xfId="0" applyFont="1" applyBorder="1" applyAlignment="1">
      <alignment horizontal="left" indent="1"/>
    </xf>
    <xf numFmtId="0" fontId="12" fillId="0" borderId="2" xfId="0" applyFont="1" applyBorder="1"/>
    <xf numFmtId="0" fontId="9" fillId="3" borderId="4" xfId="0" applyFont="1" applyFill="1" applyBorder="1" applyAlignment="1">
      <alignment wrapText="1"/>
    </xf>
    <xf numFmtId="4" fontId="7" fillId="0" borderId="2" xfId="1" applyNumberFormat="1" applyFont="1" applyBorder="1" applyAlignment="1">
      <alignment horizontal="left"/>
    </xf>
    <xf numFmtId="4" fontId="15" fillId="0" borderId="2" xfId="1" applyNumberFormat="1" applyFont="1" applyBorder="1" applyAlignment="1">
      <alignment horizontal="left"/>
    </xf>
    <xf numFmtId="4" fontId="12" fillId="0" borderId="2" xfId="1" applyNumberFormat="1" applyFont="1" applyBorder="1" applyAlignment="1">
      <alignment horizontal="left"/>
    </xf>
    <xf numFmtId="166" fontId="7" fillId="0" borderId="2" xfId="1" applyNumberFormat="1" applyFont="1" applyBorder="1" applyAlignment="1">
      <alignment horizontal="right"/>
    </xf>
    <xf numFmtId="166" fontId="7" fillId="0" borderId="2" xfId="1" applyNumberFormat="1" applyFont="1" applyBorder="1" applyAlignment="1">
      <alignment horizontal="left"/>
    </xf>
    <xf numFmtId="0" fontId="20" fillId="6" borderId="11" xfId="0" applyFont="1" applyFill="1" applyBorder="1" applyAlignment="1">
      <alignment horizontal="center"/>
    </xf>
    <xf numFmtId="0" fontId="21" fillId="0" borderId="0" xfId="0" applyFont="1"/>
    <xf numFmtId="165" fontId="20" fillId="6" borderId="11" xfId="0" applyNumberFormat="1" applyFont="1" applyFill="1" applyBorder="1" applyAlignment="1">
      <alignment horizontal="right"/>
    </xf>
    <xf numFmtId="0" fontId="9"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5" xfId="0" applyFont="1" applyFill="1" applyBorder="1" applyAlignment="1">
      <alignment horizontal="left" vertical="center"/>
    </xf>
  </cellXfs>
  <cellStyles count="4">
    <cellStyle name="Comma" xfId="1" builtinId="3"/>
    <cellStyle name="Hyperlink" xfId="3" builtinId="8"/>
    <cellStyle name="Normal" xfId="0" builtinId="0"/>
    <cellStyle name="Percent" xfId="2" builtinId="5"/>
  </cellStyles>
  <dxfs count="7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504-E998-45D8-B435-B2203783E307}">
  <dimension ref="A1:B37"/>
  <sheetViews>
    <sheetView tabSelected="1" workbookViewId="0"/>
  </sheetViews>
  <sheetFormatPr defaultRowHeight="14.4" x14ac:dyDescent="0.3"/>
  <cols>
    <col min="1" max="1" width="14.33203125" bestFit="1" customWidth="1"/>
    <col min="2" max="2" width="67.109375" bestFit="1" customWidth="1"/>
  </cols>
  <sheetData>
    <row r="1" spans="1:2" x14ac:dyDescent="0.3">
      <c r="A1" s="1" t="s">
        <v>0</v>
      </c>
      <c r="B1" s="1" t="s">
        <v>1</v>
      </c>
    </row>
    <row r="2" spans="1:2" x14ac:dyDescent="0.3">
      <c r="A2" s="128"/>
      <c r="B2" s="2"/>
    </row>
    <row r="3" spans="1:2" x14ac:dyDescent="0.3">
      <c r="A3" s="2" t="s">
        <v>2</v>
      </c>
      <c r="B3" s="2" t="s">
        <v>3</v>
      </c>
    </row>
    <row r="4" spans="1:2" x14ac:dyDescent="0.3">
      <c r="A4" s="2"/>
      <c r="B4" s="2"/>
    </row>
    <row r="5" spans="1:2" x14ac:dyDescent="0.3">
      <c r="A5" s="2" t="s">
        <v>4</v>
      </c>
      <c r="B5" s="2" t="s">
        <v>5</v>
      </c>
    </row>
    <row r="6" spans="1:2" x14ac:dyDescent="0.3">
      <c r="A6" s="2"/>
      <c r="B6" s="2"/>
    </row>
    <row r="7" spans="1:2" x14ac:dyDescent="0.3">
      <c r="A7" s="2" t="s">
        <v>6</v>
      </c>
      <c r="B7" s="3" t="s">
        <v>7</v>
      </c>
    </row>
    <row r="8" spans="1:2" x14ac:dyDescent="0.3">
      <c r="A8" s="2"/>
      <c r="B8" s="2"/>
    </row>
    <row r="9" spans="1:2" x14ac:dyDescent="0.3">
      <c r="A9" s="2" t="s">
        <v>8</v>
      </c>
      <c r="B9" s="4" t="s">
        <v>9</v>
      </c>
    </row>
    <row r="10" spans="1:2" x14ac:dyDescent="0.3">
      <c r="A10" s="2"/>
      <c r="B10" s="4" t="s">
        <v>10</v>
      </c>
    </row>
    <row r="11" spans="1:2" x14ac:dyDescent="0.3">
      <c r="A11" s="2"/>
      <c r="B11" s="4" t="s">
        <v>11</v>
      </c>
    </row>
    <row r="12" spans="1:2" x14ac:dyDescent="0.3">
      <c r="A12" s="2"/>
      <c r="B12" s="4" t="s">
        <v>12</v>
      </c>
    </row>
    <row r="13" spans="1:2" x14ac:dyDescent="0.3">
      <c r="A13" s="2"/>
      <c r="B13" s="4" t="s">
        <v>13</v>
      </c>
    </row>
    <row r="14" spans="1:2" x14ac:dyDescent="0.3">
      <c r="A14" s="2"/>
      <c r="B14" s="4" t="s">
        <v>14</v>
      </c>
    </row>
    <row r="15" spans="1:2" x14ac:dyDescent="0.3">
      <c r="A15" s="2"/>
      <c r="B15" s="4" t="s">
        <v>15</v>
      </c>
    </row>
    <row r="16" spans="1:2" x14ac:dyDescent="0.3">
      <c r="A16" s="2"/>
      <c r="B16" s="4" t="s">
        <v>16</v>
      </c>
    </row>
    <row r="17" spans="1:2" x14ac:dyDescent="0.3">
      <c r="A17" s="2"/>
      <c r="B17" s="4" t="s">
        <v>17</v>
      </c>
    </row>
    <row r="18" spans="1:2" x14ac:dyDescent="0.3">
      <c r="A18" s="2"/>
      <c r="B18" s="4" t="s">
        <v>18</v>
      </c>
    </row>
    <row r="19" spans="1:2" x14ac:dyDescent="0.3">
      <c r="A19" s="2"/>
      <c r="B19" s="4" t="s">
        <v>19</v>
      </c>
    </row>
    <row r="20" spans="1:2" x14ac:dyDescent="0.3">
      <c r="A20" s="2"/>
      <c r="B20" s="4" t="s">
        <v>20</v>
      </c>
    </row>
    <row r="21" spans="1:2" x14ac:dyDescent="0.3">
      <c r="A21" s="2"/>
      <c r="B21" s="4" t="s">
        <v>21</v>
      </c>
    </row>
    <row r="22" spans="1:2" x14ac:dyDescent="0.3">
      <c r="A22" s="2"/>
      <c r="B22" s="4" t="s">
        <v>22</v>
      </c>
    </row>
    <row r="23" spans="1:2" x14ac:dyDescent="0.3">
      <c r="A23" s="2"/>
      <c r="B23" s="4" t="s">
        <v>23</v>
      </c>
    </row>
    <row r="24" spans="1:2" x14ac:dyDescent="0.3">
      <c r="A24" s="2"/>
      <c r="B24" s="4" t="s">
        <v>24</v>
      </c>
    </row>
    <row r="25" spans="1:2" x14ac:dyDescent="0.3">
      <c r="A25" s="2"/>
      <c r="B25" s="4" t="s">
        <v>25</v>
      </c>
    </row>
    <row r="26" spans="1:2" x14ac:dyDescent="0.3">
      <c r="A26" s="2"/>
      <c r="B26" s="4" t="s">
        <v>26</v>
      </c>
    </row>
    <row r="27" spans="1:2" x14ac:dyDescent="0.3">
      <c r="A27" s="2"/>
      <c r="B27" s="4" t="s">
        <v>27</v>
      </c>
    </row>
    <row r="28" spans="1:2" x14ac:dyDescent="0.3">
      <c r="A28" s="2"/>
      <c r="B28" s="4" t="s">
        <v>28</v>
      </c>
    </row>
    <row r="29" spans="1:2" x14ac:dyDescent="0.3">
      <c r="A29" s="2"/>
      <c r="B29" s="4" t="s">
        <v>29</v>
      </c>
    </row>
    <row r="30" spans="1:2" x14ac:dyDescent="0.3">
      <c r="A30" s="2"/>
      <c r="B30" s="4" t="s">
        <v>30</v>
      </c>
    </row>
    <row r="31" spans="1:2" x14ac:dyDescent="0.3">
      <c r="A31" s="2"/>
      <c r="B31" s="4" t="s">
        <v>31</v>
      </c>
    </row>
    <row r="32" spans="1:2" x14ac:dyDescent="0.3">
      <c r="A32" s="2"/>
      <c r="B32" s="4" t="s">
        <v>32</v>
      </c>
    </row>
    <row r="33" spans="1:2" x14ac:dyDescent="0.3">
      <c r="A33" s="2"/>
      <c r="B33" s="4" t="s">
        <v>33</v>
      </c>
    </row>
    <row r="34" spans="1:2" x14ac:dyDescent="0.3">
      <c r="A34" s="2"/>
      <c r="B34" s="4" t="s">
        <v>34</v>
      </c>
    </row>
    <row r="35" spans="1:2" x14ac:dyDescent="0.3">
      <c r="A35" s="2"/>
      <c r="B35" s="4" t="s">
        <v>35</v>
      </c>
    </row>
    <row r="36" spans="1:2" x14ac:dyDescent="0.3">
      <c r="A36" s="2"/>
    </row>
    <row r="37" spans="1:2" x14ac:dyDescent="0.3">
      <c r="A37" s="2"/>
      <c r="B37" s="4"/>
    </row>
  </sheetData>
  <hyperlinks>
    <hyperlink ref="B9" location="Wheat!A1" display="Wheat" xr:uid="{55EFE7D3-A901-4763-BDC7-AE903B876615}"/>
    <hyperlink ref="B10" location="Barley!A1" display="Barley" xr:uid="{4BA0C2FB-091E-44BE-9CEE-36CCA3F8BEB1}"/>
    <hyperlink ref="B11" location="Rice!A1" display="Rice" xr:uid="{C16F1337-AFE4-49C1-BA01-F75BB3C80BB9}"/>
    <hyperlink ref="B12" location="'Coarse Grains'!A1" display="Coarse Grains" xr:uid="{27D876B7-71DC-4FAB-B075-3C0DDE84DECE}"/>
    <hyperlink ref="B13" location="Pulses!A1" display="Pulses" xr:uid="{1AB23DD4-C230-464B-B8D5-2A34352D0FAC}"/>
    <hyperlink ref="B14" location="Oilseeds!A1" display="Oilseeds" xr:uid="{87AB2481-4F58-484B-BAF1-5289B9069505}"/>
    <hyperlink ref="B15" location="'Cotton Lint'!A1" display="Cotton Lint" xr:uid="{F467AB02-C07D-43D5-BDDF-A5DDE76CED63}"/>
    <hyperlink ref="B16" location="Sugarcane!A1" display="Sugarcane" xr:uid="{93FAE144-9A30-4CE0-928F-F614963EFFA0}"/>
    <hyperlink ref="B17" location="Horticulture!A1" display="Horticulture" xr:uid="{391E5DDE-564A-458F-80B6-DC7817256109}"/>
    <hyperlink ref="B18" location="Wine!A1" display="Wine" xr:uid="{50394C79-B52B-4B70-9797-4B8EF7A111A9}"/>
    <hyperlink ref="B19" location="Beef!A1" display="Beef" xr:uid="{54D0970C-9DA1-41B2-8599-EE1EF569206A}"/>
    <hyperlink ref="B20" location="'Sheep Meat'!A1" display="Sheep &amp; Goat Meat" xr:uid="{C82DCE17-5B82-46A9-B7B0-13FAE90C6DD2}"/>
    <hyperlink ref="B22" location="Pork!A1" display="Pork" xr:uid="{9CD53814-C62C-4BEB-BC82-5BEA648E567C}"/>
    <hyperlink ref="B23" location="Poultry!A1" display="Poultry" xr:uid="{F9455790-8C75-4BC0-9942-12EF03E28B86}"/>
    <hyperlink ref="B24" location="Wool!A1" display="Wool" xr:uid="{2F339095-5100-4D90-86FD-2E0C4AF020FD}"/>
    <hyperlink ref="B25" location="Eggs!A1" display="Eggs" xr:uid="{C34E2963-C2B0-4198-85C6-E54E56C6A085}"/>
    <hyperlink ref="B26" location="Milk!A1" display="Milk" xr:uid="{1A538A03-49A9-4664-8A9F-CB2D8F300F28}"/>
    <hyperlink ref="B27" location="Forestry!A1" display="Forestry" xr:uid="{912CFCD2-8873-42AD-AF20-2779E650738F}"/>
    <hyperlink ref="B28" location="Fisheries!A1" display="Fisheries" xr:uid="{E2E36D52-350E-4602-BE4C-BBCA2C2AC948}"/>
    <hyperlink ref="B29" location="'Gross Value of Production'!A1" display="Gross Value of Production" xr:uid="{5E26E8C3-136C-440E-BF56-02F7753BBEE3}"/>
    <hyperlink ref="B30" location="Production!A1" display="Production Data Consolidated" xr:uid="{93A58AD4-512A-4CE6-A577-623B178D8E78}"/>
    <hyperlink ref="B31" location="Prices!A1" display="Price Data Consolidated" xr:uid="{FC724679-6BFE-4645-8E73-6C78D933949B}"/>
    <hyperlink ref="B32" location="Exports!A1" display="Exports Data Consolidated" xr:uid="{B940D61C-7F87-46A0-8398-A1ECDB5EB3D4}"/>
    <hyperlink ref="B33" location="'Imports &amp; Trade Balance'!A1" display="Imports &amp; Trade Balance Data Consolidated" xr:uid="{D8B5C7EC-E92B-4084-A9E0-FA3BBB65C508}"/>
    <hyperlink ref="B34" location="'Employment &amp; Businesses'!A1" display="Jobs &amp; Businesses Consolidated" xr:uid="{288F1F67-015E-4A5E-97BF-254A16F0D269}"/>
    <hyperlink ref="B35" location="Endnotes!A1" display="Consolidated Footnotes" xr:uid="{50859E7E-DCD1-4EF5-87F4-D1E849613DD7}"/>
    <hyperlink ref="B21" location="'Goat Meat'!A1" display="Goat Meat" xr:uid="{1E3ECBAA-8054-4DE8-9271-F8E6C198E5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92DA-240F-4986-9D62-90851769EAA0}">
  <dimension ref="A1:M24"/>
  <sheetViews>
    <sheetView workbookViewId="0"/>
  </sheetViews>
  <sheetFormatPr defaultRowHeight="14.4" x14ac:dyDescent="0.3"/>
  <cols>
    <col min="1" max="1" width="30.44140625" bestFit="1" customWidth="1"/>
    <col min="2" max="2" width="10.5546875" bestFit="1" customWidth="1"/>
    <col min="3" max="3" width="11.44140625" bestFit="1" customWidth="1"/>
    <col min="12" max="12" width="24" bestFit="1" customWidth="1"/>
  </cols>
  <sheetData>
    <row r="1" spans="1:13" x14ac:dyDescent="0.3">
      <c r="A1" s="122" t="s">
        <v>17</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111</v>
      </c>
      <c r="B3" s="78"/>
      <c r="C3" s="97" t="s">
        <v>46</v>
      </c>
      <c r="D3" s="80">
        <v>1766.2</v>
      </c>
      <c r="E3" s="110">
        <v>1707</v>
      </c>
      <c r="F3" s="110">
        <v>1951</v>
      </c>
      <c r="G3" s="93">
        <v>2033.9</v>
      </c>
      <c r="H3" s="93">
        <v>2030.6</v>
      </c>
      <c r="I3" s="81">
        <f t="shared" ref="I3:I20" si="0">IF(ISBLANK(H3),"N/A",IF(ISNA(H3/G3-1),"N/A",IF(ISERROR(H3/G3-1),"N/A",H3/G3-1)))</f>
        <v>-1.6224986479178582E-3</v>
      </c>
      <c r="J3" s="82">
        <v>1897.8</v>
      </c>
      <c r="K3" s="81">
        <f t="shared" ref="K3:K20" si="1">IF(ISBLANK(H3),"",IF(ISNA(H3/AVERAGE(D3:H3)-1),"N/A",IF(ISERROR(H3/AVERAGE(D3:H3)-1),"N/A",H3/AVERAGE(D3:H3)-1)))</f>
        <v>7.0009590354842999E-2</v>
      </c>
      <c r="L3" s="83" t="s">
        <v>408</v>
      </c>
      <c r="M3" s="84" t="s">
        <v>47</v>
      </c>
    </row>
    <row r="4" spans="1:13" x14ac:dyDescent="0.3">
      <c r="A4" s="98" t="s">
        <v>112</v>
      </c>
      <c r="B4" s="78"/>
      <c r="C4" s="97" t="s">
        <v>46</v>
      </c>
      <c r="D4" s="80">
        <v>809.1</v>
      </c>
      <c r="E4" s="80">
        <v>737.7</v>
      </c>
      <c r="F4" s="80">
        <v>933.2</v>
      </c>
      <c r="G4" s="80">
        <v>1067.2</v>
      </c>
      <c r="H4" s="80">
        <v>1056.7</v>
      </c>
      <c r="I4" s="81">
        <f t="shared" si="0"/>
        <v>-9.8388305847076918E-3</v>
      </c>
      <c r="J4" s="82">
        <f t="shared" ref="J4:J20" si="2">IF(ISBLANK(H4),"",IF(ISNA(AVERAGE(D4:H4)),"N/A",IF(ISERROR(AVERAGE(D4:H4)),"N/A",AVERAGE(D4:H4))))</f>
        <v>920.78</v>
      </c>
      <c r="K4" s="81">
        <f t="shared" si="1"/>
        <v>0.14761397945220356</v>
      </c>
      <c r="L4" s="83" t="s">
        <v>408</v>
      </c>
      <c r="M4" s="84" t="s">
        <v>47</v>
      </c>
    </row>
    <row r="5" spans="1:13" x14ac:dyDescent="0.3">
      <c r="A5" s="98" t="s">
        <v>113</v>
      </c>
      <c r="B5" s="78"/>
      <c r="C5" s="97" t="s">
        <v>46</v>
      </c>
      <c r="D5" s="80">
        <v>507.4</v>
      </c>
      <c r="E5" s="80">
        <v>497.6</v>
      </c>
      <c r="F5" s="80">
        <v>494.6</v>
      </c>
      <c r="G5" s="80">
        <v>427.2</v>
      </c>
      <c r="H5" s="80">
        <v>430.2</v>
      </c>
      <c r="I5" s="81">
        <f t="shared" si="0"/>
        <v>7.0224719101124045E-3</v>
      </c>
      <c r="J5" s="82">
        <f t="shared" si="2"/>
        <v>471.4</v>
      </c>
      <c r="K5" s="81">
        <f t="shared" si="1"/>
        <v>-8.739923631735258E-2</v>
      </c>
      <c r="L5" s="83" t="s">
        <v>408</v>
      </c>
      <c r="M5" s="84" t="s">
        <v>47</v>
      </c>
    </row>
    <row r="6" spans="1:13" x14ac:dyDescent="0.3">
      <c r="A6" s="98" t="s">
        <v>114</v>
      </c>
      <c r="B6" s="78"/>
      <c r="C6" s="97" t="s">
        <v>46</v>
      </c>
      <c r="D6" s="80">
        <v>449.8</v>
      </c>
      <c r="E6" s="80">
        <v>471.7</v>
      </c>
      <c r="F6" s="80">
        <v>523.20000000000005</v>
      </c>
      <c r="G6" s="80">
        <v>539.5</v>
      </c>
      <c r="H6" s="80">
        <v>543.70000000000005</v>
      </c>
      <c r="I6" s="81">
        <f t="shared" si="0"/>
        <v>7.7849860982392993E-3</v>
      </c>
      <c r="J6" s="82">
        <f t="shared" si="2"/>
        <v>505.58000000000004</v>
      </c>
      <c r="K6" s="81">
        <f t="shared" si="1"/>
        <v>7.5398552157917687E-2</v>
      </c>
      <c r="L6" s="83" t="s">
        <v>408</v>
      </c>
      <c r="M6" s="84" t="s">
        <v>47</v>
      </c>
    </row>
    <row r="7" spans="1:13" x14ac:dyDescent="0.3">
      <c r="A7" s="98" t="s">
        <v>115</v>
      </c>
      <c r="B7" s="78"/>
      <c r="C7" s="99" t="s">
        <v>54</v>
      </c>
      <c r="D7" s="87">
        <v>191.11563828000001</v>
      </c>
      <c r="E7" s="87">
        <v>148.01364122999999</v>
      </c>
      <c r="F7" s="87">
        <v>168.40061159999999</v>
      </c>
      <c r="G7" s="87">
        <v>200.55581000000001</v>
      </c>
      <c r="H7" s="87" t="s">
        <v>116</v>
      </c>
      <c r="I7" s="81" t="str">
        <f t="shared" si="0"/>
        <v>N/A</v>
      </c>
      <c r="J7" s="82">
        <f t="shared" si="2"/>
        <v>177.02142527749999</v>
      </c>
      <c r="K7" s="81" t="str">
        <f t="shared" si="1"/>
        <v>N/A</v>
      </c>
      <c r="L7" s="83" t="s">
        <v>410</v>
      </c>
      <c r="M7" s="84" t="s">
        <v>117</v>
      </c>
    </row>
    <row r="8" spans="1:13" x14ac:dyDescent="0.3">
      <c r="A8" s="98" t="s">
        <v>118</v>
      </c>
      <c r="B8" s="78"/>
      <c r="C8" s="99" t="s">
        <v>54</v>
      </c>
      <c r="D8" s="87">
        <v>27.947807519999998</v>
      </c>
      <c r="E8" s="87">
        <v>21.909960010000002</v>
      </c>
      <c r="F8" s="87">
        <v>26.396921049999996</v>
      </c>
      <c r="G8" s="87">
        <v>32.200299999999999</v>
      </c>
      <c r="H8" s="87" t="s">
        <v>116</v>
      </c>
      <c r="I8" s="81" t="str">
        <f t="shared" si="0"/>
        <v>N/A</v>
      </c>
      <c r="J8" s="82">
        <f t="shared" si="2"/>
        <v>27.113747144999998</v>
      </c>
      <c r="K8" s="81" t="str">
        <f t="shared" si="1"/>
        <v>N/A</v>
      </c>
      <c r="L8" s="83" t="s">
        <v>410</v>
      </c>
      <c r="M8" s="84" t="s">
        <v>117</v>
      </c>
    </row>
    <row r="9" spans="1:13" x14ac:dyDescent="0.3">
      <c r="A9" s="98" t="s">
        <v>119</v>
      </c>
      <c r="B9" s="78"/>
      <c r="C9" s="99" t="s">
        <v>54</v>
      </c>
      <c r="D9" s="87">
        <v>91.895699999999991</v>
      </c>
      <c r="E9" s="87">
        <v>55.304160000000003</v>
      </c>
      <c r="F9" s="87">
        <v>71.418869999999998</v>
      </c>
      <c r="G9" s="87">
        <v>52.964460000000003</v>
      </c>
      <c r="H9" s="87" t="s">
        <v>116</v>
      </c>
      <c r="I9" s="81" t="str">
        <f t="shared" si="0"/>
        <v>N/A</v>
      </c>
      <c r="J9" s="82">
        <f t="shared" si="2"/>
        <v>67.8957975</v>
      </c>
      <c r="K9" s="81" t="str">
        <f t="shared" si="1"/>
        <v>N/A</v>
      </c>
      <c r="L9" s="83" t="s">
        <v>410</v>
      </c>
      <c r="M9" s="84" t="s">
        <v>117</v>
      </c>
    </row>
    <row r="10" spans="1:13" x14ac:dyDescent="0.3">
      <c r="A10" s="98" t="s">
        <v>120</v>
      </c>
      <c r="B10" s="78"/>
      <c r="C10" s="99" t="s">
        <v>54</v>
      </c>
      <c r="D10" s="87">
        <v>14.69269749</v>
      </c>
      <c r="E10" s="87">
        <v>12.287193240000001</v>
      </c>
      <c r="F10" s="87">
        <v>11.182049429999999</v>
      </c>
      <c r="G10" s="87">
        <v>12.55725808</v>
      </c>
      <c r="H10" s="87" t="s">
        <v>116</v>
      </c>
      <c r="I10" s="81" t="str">
        <f t="shared" si="0"/>
        <v>N/A</v>
      </c>
      <c r="J10" s="82">
        <f t="shared" si="2"/>
        <v>12.679799559999999</v>
      </c>
      <c r="K10" s="81" t="str">
        <f t="shared" si="1"/>
        <v>N/A</v>
      </c>
      <c r="L10" s="83" t="s">
        <v>410</v>
      </c>
      <c r="M10" s="84" t="s">
        <v>117</v>
      </c>
    </row>
    <row r="11" spans="1:13" x14ac:dyDescent="0.3">
      <c r="A11" s="98" t="s">
        <v>121</v>
      </c>
      <c r="B11" s="78"/>
      <c r="C11" s="99" t="s">
        <v>54</v>
      </c>
      <c r="D11" s="87">
        <v>107.69782000000001</v>
      </c>
      <c r="E11" s="87">
        <v>109.30112</v>
      </c>
      <c r="F11" s="87">
        <v>82.463119999999989</v>
      </c>
      <c r="G11" s="87">
        <v>51.373050000000006</v>
      </c>
      <c r="H11" s="87" t="s">
        <v>116</v>
      </c>
      <c r="I11" s="81" t="str">
        <f t="shared" si="0"/>
        <v>N/A</v>
      </c>
      <c r="J11" s="82">
        <f t="shared" si="2"/>
        <v>87.708777499999997</v>
      </c>
      <c r="K11" s="81" t="str">
        <f t="shared" si="1"/>
        <v>N/A</v>
      </c>
      <c r="L11" s="83" t="s">
        <v>410</v>
      </c>
      <c r="M11" s="84" t="s">
        <v>117</v>
      </c>
    </row>
    <row r="12" spans="1:13" x14ac:dyDescent="0.3">
      <c r="A12" s="98" t="s">
        <v>122</v>
      </c>
      <c r="B12" s="78"/>
      <c r="C12" s="99" t="s">
        <v>123</v>
      </c>
      <c r="D12" s="87">
        <v>3.9565700000000001</v>
      </c>
      <c r="E12" s="87">
        <v>4.9487700000000006</v>
      </c>
      <c r="F12" s="87">
        <v>5.0278700000000001</v>
      </c>
      <c r="G12" s="87">
        <v>4.0449999999999999</v>
      </c>
      <c r="H12" s="87" t="s">
        <v>116</v>
      </c>
      <c r="I12" s="81" t="str">
        <f t="shared" si="0"/>
        <v>N/A</v>
      </c>
      <c r="J12" s="82">
        <f t="shared" si="2"/>
        <v>4.4945525000000002</v>
      </c>
      <c r="K12" s="81" t="str">
        <f t="shared" si="1"/>
        <v>N/A</v>
      </c>
      <c r="L12" s="83" t="s">
        <v>410</v>
      </c>
      <c r="M12" s="84" t="s">
        <v>117</v>
      </c>
    </row>
    <row r="13" spans="1:13" x14ac:dyDescent="0.3">
      <c r="A13" s="98" t="s">
        <v>124</v>
      </c>
      <c r="B13" s="78"/>
      <c r="C13" s="97" t="s">
        <v>125</v>
      </c>
      <c r="D13" s="87">
        <v>99.375</v>
      </c>
      <c r="E13" s="87">
        <v>99.474999999999994</v>
      </c>
      <c r="F13" s="87">
        <v>103.125</v>
      </c>
      <c r="G13" s="87">
        <v>106.35</v>
      </c>
      <c r="H13" s="87">
        <v>111.27500000000001</v>
      </c>
      <c r="I13" s="81">
        <f t="shared" si="0"/>
        <v>4.6309355900329141E-2</v>
      </c>
      <c r="J13" s="82">
        <f t="shared" si="2"/>
        <v>103.92</v>
      </c>
      <c r="K13" s="81">
        <f t="shared" si="1"/>
        <v>7.077559661277899E-2</v>
      </c>
      <c r="L13" s="83" t="s">
        <v>411</v>
      </c>
      <c r="M13" s="84" t="s">
        <v>126</v>
      </c>
    </row>
    <row r="14" spans="1:13" x14ac:dyDescent="0.3">
      <c r="A14" s="98" t="s">
        <v>127</v>
      </c>
      <c r="B14" s="78"/>
      <c r="C14" s="97" t="s">
        <v>125</v>
      </c>
      <c r="D14" s="87">
        <v>128.02500000000001</v>
      </c>
      <c r="E14" s="87">
        <v>116.875</v>
      </c>
      <c r="F14" s="87">
        <v>121.72500000000001</v>
      </c>
      <c r="G14" s="87">
        <v>126.02499999999999</v>
      </c>
      <c r="H14" s="87">
        <v>126.77499999999999</v>
      </c>
      <c r="I14" s="81">
        <f t="shared" si="0"/>
        <v>5.9512001586987662E-3</v>
      </c>
      <c r="J14" s="82">
        <f t="shared" si="2"/>
        <v>123.88499999999999</v>
      </c>
      <c r="K14" s="81">
        <f t="shared" si="1"/>
        <v>2.3328086531864134E-2</v>
      </c>
      <c r="L14" s="83" t="s">
        <v>411</v>
      </c>
      <c r="M14" s="84" t="s">
        <v>126</v>
      </c>
    </row>
    <row r="15" spans="1:13" x14ac:dyDescent="0.3">
      <c r="A15" s="156" t="s">
        <v>59</v>
      </c>
      <c r="B15" s="88" t="s">
        <v>60</v>
      </c>
      <c r="C15" s="97" t="s">
        <v>46</v>
      </c>
      <c r="D15" s="80">
        <v>325.40530799999999</v>
      </c>
      <c r="E15" s="80">
        <v>365.11487699999998</v>
      </c>
      <c r="F15" s="80">
        <v>458.23013600000002</v>
      </c>
      <c r="G15" s="80">
        <v>461.71497599999998</v>
      </c>
      <c r="H15" s="80">
        <v>288.30492199999998</v>
      </c>
      <c r="I15" s="81">
        <f t="shared" si="0"/>
        <v>-0.37557814455643734</v>
      </c>
      <c r="J15" s="82">
        <f t="shared" si="2"/>
        <v>379.75404379999998</v>
      </c>
      <c r="K15" s="81">
        <f t="shared" si="1"/>
        <v>-0.2408114496554572</v>
      </c>
      <c r="L15" s="83" t="s">
        <v>61</v>
      </c>
      <c r="M15" s="84" t="s">
        <v>62</v>
      </c>
    </row>
    <row r="16" spans="1:13" x14ac:dyDescent="0.3">
      <c r="A16" s="156"/>
      <c r="B16" s="89" t="s">
        <v>65</v>
      </c>
      <c r="C16" s="97" t="s">
        <v>46</v>
      </c>
      <c r="D16" s="80">
        <v>43.541547999999999</v>
      </c>
      <c r="E16" s="80">
        <v>65.436750000000004</v>
      </c>
      <c r="F16" s="80">
        <v>101.623346</v>
      </c>
      <c r="G16" s="80">
        <v>128.267653</v>
      </c>
      <c r="H16" s="80">
        <v>58.749277999999997</v>
      </c>
      <c r="I16" s="81">
        <f t="shared" si="0"/>
        <v>-0.54197900541611999</v>
      </c>
      <c r="J16" s="82">
        <f t="shared" si="2"/>
        <v>79.523714999999996</v>
      </c>
      <c r="K16" s="81">
        <f t="shared" si="1"/>
        <v>-0.26123574584009313</v>
      </c>
      <c r="L16" s="83" t="s">
        <v>61</v>
      </c>
      <c r="M16" s="84" t="s">
        <v>62</v>
      </c>
    </row>
    <row r="17" spans="1:13" x14ac:dyDescent="0.3">
      <c r="A17" s="156"/>
      <c r="B17" s="89" t="s">
        <v>73</v>
      </c>
      <c r="C17" s="97" t="s">
        <v>46</v>
      </c>
      <c r="D17" s="80">
        <v>40.641117999999999</v>
      </c>
      <c r="E17" s="80">
        <v>39.011539999999997</v>
      </c>
      <c r="F17" s="80">
        <v>56.570425999999998</v>
      </c>
      <c r="G17" s="80">
        <v>50.645496999999999</v>
      </c>
      <c r="H17" s="80">
        <v>35.594763999999998</v>
      </c>
      <c r="I17" s="81">
        <f t="shared" si="0"/>
        <v>-0.29717810845058945</v>
      </c>
      <c r="J17" s="82">
        <f t="shared" si="2"/>
        <v>44.492668999999999</v>
      </c>
      <c r="K17" s="81">
        <f t="shared" si="1"/>
        <v>-0.19998586733468382</v>
      </c>
      <c r="L17" s="83" t="s">
        <v>61</v>
      </c>
      <c r="M17" s="84" t="s">
        <v>62</v>
      </c>
    </row>
    <row r="18" spans="1:13" x14ac:dyDescent="0.3">
      <c r="A18" s="156"/>
      <c r="B18" s="89" t="s">
        <v>128</v>
      </c>
      <c r="C18" s="97" t="s">
        <v>46</v>
      </c>
      <c r="D18" s="80">
        <v>45.133851</v>
      </c>
      <c r="E18" s="80">
        <v>35.521605000000001</v>
      </c>
      <c r="F18" s="80">
        <v>29.730609000000001</v>
      </c>
      <c r="G18" s="80">
        <v>22.837375000000002</v>
      </c>
      <c r="H18" s="80">
        <v>23.309222999999999</v>
      </c>
      <c r="I18" s="81">
        <f t="shared" si="0"/>
        <v>2.0661218725882335E-2</v>
      </c>
      <c r="J18" s="82">
        <f t="shared" si="2"/>
        <v>31.306532600000004</v>
      </c>
      <c r="K18" s="81">
        <f t="shared" si="1"/>
        <v>-0.25545178388743073</v>
      </c>
      <c r="L18" s="83" t="s">
        <v>61</v>
      </c>
      <c r="M18" s="84" t="s">
        <v>62</v>
      </c>
    </row>
    <row r="19" spans="1:13" x14ac:dyDescent="0.3">
      <c r="A19" s="98" t="s">
        <v>66</v>
      </c>
      <c r="B19" s="88" t="s">
        <v>60</v>
      </c>
      <c r="C19" s="97" t="s">
        <v>46</v>
      </c>
      <c r="D19" s="80">
        <v>1046.41107848</v>
      </c>
      <c r="E19" s="80">
        <v>1015.72349597</v>
      </c>
      <c r="F19" s="80">
        <v>1110.1252675999999</v>
      </c>
      <c r="G19" s="80">
        <v>1227.59916279</v>
      </c>
      <c r="H19" s="80">
        <v>1313.2209326699999</v>
      </c>
      <c r="I19" s="81">
        <f t="shared" si="0"/>
        <v>6.974733485920992E-2</v>
      </c>
      <c r="J19" s="82">
        <f t="shared" si="2"/>
        <v>1142.6159875019998</v>
      </c>
      <c r="K19" s="81">
        <f t="shared" si="1"/>
        <v>0.14931083324063987</v>
      </c>
      <c r="L19" s="83" t="s">
        <v>61</v>
      </c>
      <c r="M19" s="84" t="s">
        <v>62</v>
      </c>
    </row>
    <row r="20" spans="1:13" x14ac:dyDescent="0.3">
      <c r="A20" s="98" t="s">
        <v>67</v>
      </c>
      <c r="B20" s="88" t="s">
        <v>60</v>
      </c>
      <c r="C20" s="97" t="s">
        <v>46</v>
      </c>
      <c r="D20" s="80">
        <f>+D15-D19</f>
        <v>-721.00577048000002</v>
      </c>
      <c r="E20" s="80">
        <f t="shared" ref="E20:H20" si="3">+E15-E19</f>
        <v>-650.60861897000007</v>
      </c>
      <c r="F20" s="80">
        <f t="shared" si="3"/>
        <v>-651.8951315999999</v>
      </c>
      <c r="G20" s="80">
        <f t="shared" si="3"/>
        <v>-765.88418679000006</v>
      </c>
      <c r="H20" s="80">
        <f t="shared" si="3"/>
        <v>-1024.9160106699999</v>
      </c>
      <c r="I20" s="81">
        <f t="shared" si="0"/>
        <v>0.33821278510222652</v>
      </c>
      <c r="J20" s="82">
        <f t="shared" si="2"/>
        <v>-762.86194370199996</v>
      </c>
      <c r="K20" s="81">
        <f t="shared" si="1"/>
        <v>0.34351440536712263</v>
      </c>
      <c r="L20" s="83" t="s">
        <v>61</v>
      </c>
      <c r="M20" s="84" t="s">
        <v>62</v>
      </c>
    </row>
    <row r="21" spans="1:13" x14ac:dyDescent="0.3">
      <c r="A21" s="13" t="s">
        <v>68</v>
      </c>
    </row>
    <row r="22" spans="1:13" x14ac:dyDescent="0.3">
      <c r="A22" s="13" t="s">
        <v>69</v>
      </c>
    </row>
    <row r="23" spans="1:13" x14ac:dyDescent="0.3">
      <c r="A23" s="13" t="s">
        <v>129</v>
      </c>
    </row>
    <row r="24" spans="1:13" x14ac:dyDescent="0.3">
      <c r="A24" s="13" t="s">
        <v>130</v>
      </c>
    </row>
  </sheetData>
  <mergeCells count="1">
    <mergeCell ref="A15:A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301B0-75A2-4442-8FC8-856D18FDB352}">
  <dimension ref="A1:M16"/>
  <sheetViews>
    <sheetView workbookViewId="0"/>
  </sheetViews>
  <sheetFormatPr defaultRowHeight="14.4" x14ac:dyDescent="0.3"/>
  <cols>
    <col min="1" max="1" width="27.88671875" bestFit="1" customWidth="1"/>
    <col min="2" max="2" width="14" bestFit="1" customWidth="1"/>
    <col min="3" max="3" width="10" bestFit="1" customWidth="1"/>
    <col min="12" max="12" width="31.5546875" bestFit="1" customWidth="1"/>
  </cols>
  <sheetData>
    <row r="1" spans="1:13" x14ac:dyDescent="0.3">
      <c r="A1" s="122" t="s">
        <v>131</v>
      </c>
      <c r="B1" s="122"/>
      <c r="C1" s="122"/>
      <c r="D1" s="122"/>
      <c r="E1" s="122"/>
      <c r="F1" s="122"/>
      <c r="G1" s="122"/>
      <c r="H1" s="122"/>
      <c r="I1" s="122"/>
      <c r="J1" s="122"/>
      <c r="K1" s="122"/>
      <c r="L1" s="122"/>
      <c r="M1" s="122"/>
    </row>
    <row r="2" spans="1:13" x14ac:dyDescent="0.3">
      <c r="A2" s="123" t="s">
        <v>36</v>
      </c>
      <c r="B2" s="119" t="s">
        <v>37</v>
      </c>
      <c r="C2" s="124"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79" t="s">
        <v>46</v>
      </c>
      <c r="D3" s="80">
        <v>186.6858153</v>
      </c>
      <c r="E3" s="80">
        <v>227.11570481999999</v>
      </c>
      <c r="F3" s="80">
        <v>237.11852171000001</v>
      </c>
      <c r="G3" s="80">
        <v>227.14169799999999</v>
      </c>
      <c r="H3" s="80">
        <v>255.12555419360001</v>
      </c>
      <c r="I3" s="81">
        <f t="shared" ref="I3:I13" si="0">IF(ISBLANK(H3),"N/A",IF(ISNA(H3/G3-1),"N/A",IF(ISERROR(H3/G3-1),"N/A",H3/G3-1)))</f>
        <v>0.12319999559746186</v>
      </c>
      <c r="J3" s="82">
        <f t="shared" ref="J3:J13" si="1">IF(ISBLANK(H3),"",IF(ISNA(AVERAGE(D3:H3)),"N/A",IF(ISERROR(AVERAGE(D3:H3)),"N/A",AVERAGE(D3:H3))))</f>
        <v>226.63745880471998</v>
      </c>
      <c r="K3" s="81">
        <f t="shared" ref="K3:K13" si="2">IF(ISBLANK(H3),"",IF(ISNA(H3/AVERAGE(D3:H3)-1),"N/A",IF(ISERROR(H3/AVERAGE(D3:H3)-1),"N/A",H3/AVERAGE(D3:H3)-1)))</f>
        <v>0.12569897111945005</v>
      </c>
      <c r="L3" s="83" t="s">
        <v>408</v>
      </c>
      <c r="M3" s="84" t="s">
        <v>47</v>
      </c>
    </row>
    <row r="4" spans="1:13" x14ac:dyDescent="0.3">
      <c r="A4" s="77" t="s">
        <v>48</v>
      </c>
      <c r="B4" s="78"/>
      <c r="C4" s="79" t="s">
        <v>49</v>
      </c>
      <c r="D4" s="86">
        <v>30.111339999999998</v>
      </c>
      <c r="E4" s="86">
        <v>34.37688</v>
      </c>
      <c r="F4" s="86">
        <f>31565/1000</f>
        <v>31.565000000000001</v>
      </c>
      <c r="G4" s="86">
        <v>30.324939999999998</v>
      </c>
      <c r="H4" s="87" t="s">
        <v>116</v>
      </c>
      <c r="I4" s="81" t="str">
        <f t="shared" si="0"/>
        <v>N/A</v>
      </c>
      <c r="J4" s="82">
        <f t="shared" si="1"/>
        <v>31.594539999999999</v>
      </c>
      <c r="K4" s="81" t="str">
        <f t="shared" si="2"/>
        <v>N/A</v>
      </c>
      <c r="L4" s="83" t="s">
        <v>410</v>
      </c>
      <c r="M4" s="84" t="s">
        <v>117</v>
      </c>
    </row>
    <row r="5" spans="1:13" x14ac:dyDescent="0.3">
      <c r="A5" s="77" t="s">
        <v>51</v>
      </c>
      <c r="B5" s="78"/>
      <c r="C5" s="79" t="s">
        <v>52</v>
      </c>
      <c r="D5" s="86">
        <f>+D6/D4</f>
        <v>16.92429164560594</v>
      </c>
      <c r="E5" s="86">
        <f>+E6/E4</f>
        <v>15.444737567807202</v>
      </c>
      <c r="F5" s="86">
        <f t="shared" ref="F5:G5" si="3">+F6/F4</f>
        <v>15.165545699350545</v>
      </c>
      <c r="G5" s="86">
        <f t="shared" si="3"/>
        <v>14.406375412449291</v>
      </c>
      <c r="H5" s="87" t="s">
        <v>116</v>
      </c>
      <c r="I5" s="81" t="str">
        <f t="shared" si="0"/>
        <v>N/A</v>
      </c>
      <c r="J5" s="82">
        <f t="shared" si="1"/>
        <v>15.485237581303245</v>
      </c>
      <c r="K5" s="81" t="str">
        <f t="shared" si="2"/>
        <v>N/A</v>
      </c>
      <c r="L5" s="83" t="s">
        <v>410</v>
      </c>
      <c r="M5" s="84" t="s">
        <v>117</v>
      </c>
    </row>
    <row r="6" spans="1:13" x14ac:dyDescent="0.3">
      <c r="A6" s="77" t="s">
        <v>132</v>
      </c>
      <c r="B6" s="78"/>
      <c r="C6" s="85" t="s">
        <v>54</v>
      </c>
      <c r="D6" s="86">
        <v>509.61309999999997</v>
      </c>
      <c r="E6" s="86">
        <v>530.94189000000006</v>
      </c>
      <c r="F6" s="86">
        <v>478.70044999999999</v>
      </c>
      <c r="G6" s="86">
        <v>436.87246999999996</v>
      </c>
      <c r="H6" s="86">
        <v>518.04</v>
      </c>
      <c r="I6" s="81">
        <f t="shared" si="0"/>
        <v>0.18579227480275873</v>
      </c>
      <c r="J6" s="82">
        <f t="shared" si="1"/>
        <v>494.83358200000004</v>
      </c>
      <c r="K6" s="81">
        <f t="shared" si="2"/>
        <v>4.6897419342893265E-2</v>
      </c>
      <c r="L6" s="84" t="s">
        <v>412</v>
      </c>
      <c r="M6" s="84" t="s">
        <v>133</v>
      </c>
    </row>
    <row r="7" spans="1:13" x14ac:dyDescent="0.3">
      <c r="A7" s="77" t="s">
        <v>134</v>
      </c>
      <c r="B7" s="78"/>
      <c r="C7" s="79" t="s">
        <v>56</v>
      </c>
      <c r="D7" s="80">
        <v>584.66499999999996</v>
      </c>
      <c r="E7" s="80">
        <v>618.45500000000004</v>
      </c>
      <c r="F7" s="80">
        <v>682.798</v>
      </c>
      <c r="G7" s="80">
        <v>703.72400000000005</v>
      </c>
      <c r="H7" s="80">
        <v>701</v>
      </c>
      <c r="I7" s="81">
        <f t="shared" si="0"/>
        <v>-3.8708357253697256E-3</v>
      </c>
      <c r="J7" s="82">
        <f t="shared" si="1"/>
        <v>658.12839999999994</v>
      </c>
      <c r="K7" s="81">
        <f t="shared" si="2"/>
        <v>6.5141695754202367E-2</v>
      </c>
      <c r="L7" s="102" t="s">
        <v>409</v>
      </c>
      <c r="M7" s="84" t="s">
        <v>58</v>
      </c>
    </row>
    <row r="8" spans="1:13" x14ac:dyDescent="0.3">
      <c r="A8" s="157" t="s">
        <v>135</v>
      </c>
      <c r="B8" s="88" t="s">
        <v>60</v>
      </c>
      <c r="C8" s="79" t="s">
        <v>46</v>
      </c>
      <c r="D8" s="80">
        <v>507.65681699999999</v>
      </c>
      <c r="E8" s="80">
        <v>519.64791400000001</v>
      </c>
      <c r="F8" s="80">
        <v>539.84796500000004</v>
      </c>
      <c r="G8" s="80">
        <v>550.59447999999998</v>
      </c>
      <c r="H8" s="80">
        <v>519.95409800000004</v>
      </c>
      <c r="I8" s="81">
        <f t="shared" si="0"/>
        <v>-5.564963528148692E-2</v>
      </c>
      <c r="J8" s="82">
        <f t="shared" si="1"/>
        <v>527.54025479999996</v>
      </c>
      <c r="K8" s="81">
        <f t="shared" si="2"/>
        <v>-1.4380242514148933E-2</v>
      </c>
      <c r="L8" s="83" t="s">
        <v>61</v>
      </c>
      <c r="M8" s="84" t="s">
        <v>62</v>
      </c>
    </row>
    <row r="9" spans="1:13" x14ac:dyDescent="0.3">
      <c r="A9" s="157"/>
      <c r="B9" s="89" t="s">
        <v>136</v>
      </c>
      <c r="C9" s="79" t="s">
        <v>46</v>
      </c>
      <c r="D9" s="80">
        <v>245.37803600000001</v>
      </c>
      <c r="E9" s="80">
        <v>226.765502</v>
      </c>
      <c r="F9" s="80">
        <v>244.55725899999999</v>
      </c>
      <c r="G9" s="80">
        <v>251.65068600000001</v>
      </c>
      <c r="H9" s="80">
        <v>227.615216</v>
      </c>
      <c r="I9" s="81">
        <f t="shared" si="0"/>
        <v>-9.5511243708670035E-2</v>
      </c>
      <c r="J9" s="82">
        <f t="shared" si="1"/>
        <v>239.19333979999996</v>
      </c>
      <c r="K9" s="81">
        <f t="shared" si="2"/>
        <v>-4.8404875360162358E-2</v>
      </c>
      <c r="L9" s="83" t="s">
        <v>61</v>
      </c>
      <c r="M9" s="84" t="s">
        <v>62</v>
      </c>
    </row>
    <row r="10" spans="1:13" x14ac:dyDescent="0.3">
      <c r="A10" s="157"/>
      <c r="B10" s="89" t="s">
        <v>137</v>
      </c>
      <c r="C10" s="79" t="s">
        <v>46</v>
      </c>
      <c r="D10" s="80">
        <v>51.020111</v>
      </c>
      <c r="E10" s="80">
        <v>85.769851000000003</v>
      </c>
      <c r="F10" s="80">
        <v>88.115504999999999</v>
      </c>
      <c r="G10" s="80">
        <v>94.467372999999995</v>
      </c>
      <c r="H10" s="80">
        <v>114.824506</v>
      </c>
      <c r="I10" s="81">
        <f t="shared" si="0"/>
        <v>0.21549379805448821</v>
      </c>
      <c r="J10" s="82">
        <f t="shared" si="1"/>
        <v>86.839469199999996</v>
      </c>
      <c r="K10" s="81">
        <f t="shared" si="2"/>
        <v>0.32226172105621309</v>
      </c>
      <c r="L10" s="83" t="s">
        <v>61</v>
      </c>
      <c r="M10" s="84" t="s">
        <v>62</v>
      </c>
    </row>
    <row r="11" spans="1:13" x14ac:dyDescent="0.3">
      <c r="A11" s="157"/>
      <c r="B11" s="89" t="s">
        <v>65</v>
      </c>
      <c r="C11" s="79" t="s">
        <v>46</v>
      </c>
      <c r="D11" s="80">
        <v>57.536251</v>
      </c>
      <c r="E11" s="80">
        <v>65.526891000000006</v>
      </c>
      <c r="F11" s="80">
        <v>58.363261999999999</v>
      </c>
      <c r="G11" s="80">
        <v>60.343032000000001</v>
      </c>
      <c r="H11" s="80">
        <v>23.049233000000001</v>
      </c>
      <c r="I11" s="81">
        <f t="shared" si="0"/>
        <v>-0.61802991603073576</v>
      </c>
      <c r="J11" s="82">
        <f t="shared" si="1"/>
        <v>52.9637338</v>
      </c>
      <c r="K11" s="81">
        <f t="shared" si="2"/>
        <v>-0.56481102546437167</v>
      </c>
      <c r="L11" s="83" t="s">
        <v>61</v>
      </c>
      <c r="M11" s="84" t="s">
        <v>62</v>
      </c>
    </row>
    <row r="12" spans="1:13" x14ac:dyDescent="0.3">
      <c r="A12" s="77" t="s">
        <v>66</v>
      </c>
      <c r="B12" s="88" t="s">
        <v>60</v>
      </c>
      <c r="C12" s="79" t="s">
        <v>46</v>
      </c>
      <c r="D12" s="80">
        <v>231.19889155999999</v>
      </c>
      <c r="E12" s="80">
        <v>248.96032554999999</v>
      </c>
      <c r="F12" s="80">
        <v>265.55277066000002</v>
      </c>
      <c r="G12" s="80">
        <v>259.39533553999996</v>
      </c>
      <c r="H12" s="80">
        <v>242.03695989999997</v>
      </c>
      <c r="I12" s="81">
        <f t="shared" si="0"/>
        <v>-6.6918611330708533E-2</v>
      </c>
      <c r="J12" s="82">
        <f t="shared" si="1"/>
        <v>249.42885664199997</v>
      </c>
      <c r="K12" s="81">
        <f t="shared" si="2"/>
        <v>-2.9635290966391392E-2</v>
      </c>
      <c r="L12" s="83" t="s">
        <v>61</v>
      </c>
      <c r="M12" s="84" t="s">
        <v>62</v>
      </c>
    </row>
    <row r="13" spans="1:13" x14ac:dyDescent="0.3">
      <c r="A13" s="90" t="s">
        <v>67</v>
      </c>
      <c r="B13" s="91" t="s">
        <v>60</v>
      </c>
      <c r="C13" s="92" t="s">
        <v>46</v>
      </c>
      <c r="D13" s="80">
        <f>+D8-D12</f>
        <v>276.45792544</v>
      </c>
      <c r="E13" s="80">
        <f t="shared" ref="E13:H13" si="4">+E8-E12</f>
        <v>270.68758845000002</v>
      </c>
      <c r="F13" s="80">
        <f t="shared" si="4"/>
        <v>274.29519434000002</v>
      </c>
      <c r="G13" s="80">
        <f t="shared" si="4"/>
        <v>291.19914446000001</v>
      </c>
      <c r="H13" s="80">
        <f t="shared" si="4"/>
        <v>277.9171381000001</v>
      </c>
      <c r="I13" s="81">
        <f t="shared" si="0"/>
        <v>-4.561141958239634E-2</v>
      </c>
      <c r="J13" s="82">
        <f t="shared" si="1"/>
        <v>278.11139815800004</v>
      </c>
      <c r="K13" s="81">
        <f t="shared" si="2"/>
        <v>-6.9849729024618057E-4</v>
      </c>
      <c r="L13" s="83" t="s">
        <v>61</v>
      </c>
      <c r="M13" s="84" t="s">
        <v>62</v>
      </c>
    </row>
    <row r="14" spans="1:13" x14ac:dyDescent="0.3">
      <c r="A14" s="13" t="s">
        <v>68</v>
      </c>
    </row>
    <row r="15" spans="1:13" x14ac:dyDescent="0.3">
      <c r="A15" s="13" t="s">
        <v>69</v>
      </c>
    </row>
    <row r="16" spans="1:13" x14ac:dyDescent="0.3">
      <c r="A16" s="13" t="s">
        <v>138</v>
      </c>
    </row>
  </sheetData>
  <mergeCells count="1">
    <mergeCell ref="A8:A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06F6-A7D7-4E4B-BBF0-DDE8594F36CD}">
  <dimension ref="A1:M20"/>
  <sheetViews>
    <sheetView workbookViewId="0"/>
  </sheetViews>
  <sheetFormatPr defaultRowHeight="14.4" x14ac:dyDescent="0.3"/>
  <cols>
    <col min="1" max="1" width="34.33203125" bestFit="1" customWidth="1"/>
    <col min="2" max="2" width="11.88671875" bestFit="1" customWidth="1"/>
    <col min="3" max="3" width="12.109375" bestFit="1" customWidth="1"/>
    <col min="12" max="12" width="24" bestFit="1" customWidth="1"/>
  </cols>
  <sheetData>
    <row r="1" spans="1:13" x14ac:dyDescent="0.3">
      <c r="A1" s="122" t="s">
        <v>19</v>
      </c>
      <c r="B1" s="122"/>
      <c r="C1" s="122"/>
      <c r="D1" s="122"/>
      <c r="E1" s="122"/>
      <c r="F1" s="122"/>
      <c r="G1" s="122"/>
      <c r="H1" s="122"/>
      <c r="I1" s="122"/>
      <c r="J1" s="122"/>
      <c r="K1" s="122"/>
      <c r="L1" s="122"/>
      <c r="M1" s="122"/>
    </row>
    <row r="2" spans="1:13" ht="48.6"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5" t="s">
        <v>40</v>
      </c>
      <c r="J2" s="125" t="s">
        <v>139</v>
      </c>
      <c r="K2" s="126" t="s">
        <v>42</v>
      </c>
      <c r="L2" s="119" t="s">
        <v>43</v>
      </c>
      <c r="M2" s="120" t="s">
        <v>44</v>
      </c>
    </row>
    <row r="3" spans="1:13" x14ac:dyDescent="0.3">
      <c r="A3" s="98" t="s">
        <v>45</v>
      </c>
      <c r="B3" s="78"/>
      <c r="C3" s="97" t="s">
        <v>46</v>
      </c>
      <c r="D3" s="80">
        <v>2364.1512830000001</v>
      </c>
      <c r="E3" s="80">
        <v>2387.2431421000001</v>
      </c>
      <c r="F3" s="80">
        <v>2562.5153943</v>
      </c>
      <c r="G3" s="80">
        <v>2724.1466098000001</v>
      </c>
      <c r="H3" s="80">
        <v>2490.3175904626942</v>
      </c>
      <c r="I3" s="81">
        <f t="shared" ref="I3:I18" si="0">IF(ISBLANK(H3),"N/A",IF(ISNA(H3/G3-1),"N/A",IF(ISERROR(H3/G3-1),"N/A",H3/G3-1)))</f>
        <v>-8.5835695661942712E-2</v>
      </c>
      <c r="J3" s="82">
        <f t="shared" ref="J3:J18" si="1">IF(ISBLANK(H3),"",IF(ISNA(AVERAGE(D3:H3)),"N/A",IF(ISERROR(AVERAGE(D3:H3)),"N/A",AVERAGE(D3:H3))))</f>
        <v>2505.6748039325385</v>
      </c>
      <c r="K3" s="81">
        <f t="shared" ref="K3:K18" si="2">IF(ISBLANK(H3),"",IF(ISNA(H3/AVERAGE(D3:H3)-1),"N/A",IF(ISERROR(H3/AVERAGE(D3:H3)-1),"N/A",H3/AVERAGE(D3:H3)-1)))</f>
        <v>-6.1289730996783032E-3</v>
      </c>
      <c r="L3" s="83" t="s">
        <v>408</v>
      </c>
      <c r="M3" s="84" t="s">
        <v>47</v>
      </c>
    </row>
    <row r="4" spans="1:13" x14ac:dyDescent="0.3">
      <c r="A4" s="98" t="s">
        <v>140</v>
      </c>
      <c r="B4" s="88"/>
      <c r="C4" s="99" t="s">
        <v>141</v>
      </c>
      <c r="D4" s="87">
        <v>301.14168525475003</v>
      </c>
      <c r="E4" s="87">
        <v>329.6789928915</v>
      </c>
      <c r="F4" s="87">
        <v>327.25840391524997</v>
      </c>
      <c r="G4" s="87">
        <v>309.81085972525005</v>
      </c>
      <c r="H4" s="87">
        <v>311.67624999999998</v>
      </c>
      <c r="I4" s="81">
        <f t="shared" si="0"/>
        <v>6.0210616128957284E-3</v>
      </c>
      <c r="J4" s="82">
        <f t="shared" si="1"/>
        <v>315.91323835735</v>
      </c>
      <c r="K4" s="81">
        <f t="shared" si="2"/>
        <v>-1.341187339720562E-2</v>
      </c>
      <c r="L4" s="83" t="s">
        <v>142</v>
      </c>
      <c r="M4" s="101" t="s">
        <v>143</v>
      </c>
    </row>
    <row r="5" spans="1:13" x14ac:dyDescent="0.3">
      <c r="A5" s="98" t="s">
        <v>144</v>
      </c>
      <c r="B5" s="88"/>
      <c r="C5" s="99" t="s">
        <v>141</v>
      </c>
      <c r="D5" s="105">
        <v>5287.1658899999993</v>
      </c>
      <c r="E5" s="105">
        <v>4727.0546199999999</v>
      </c>
      <c r="F5" s="105">
        <v>3780.3457799999996</v>
      </c>
      <c r="G5" s="105">
        <v>3602.6326600000002</v>
      </c>
      <c r="H5" s="87" t="s">
        <v>116</v>
      </c>
      <c r="I5" s="81" t="str">
        <f t="shared" si="0"/>
        <v>N/A</v>
      </c>
      <c r="J5" s="82">
        <f t="shared" si="1"/>
        <v>4349.2997374999995</v>
      </c>
      <c r="K5" s="81" t="str">
        <f t="shared" si="2"/>
        <v>N/A</v>
      </c>
      <c r="L5" s="83" t="s">
        <v>410</v>
      </c>
      <c r="M5" s="84" t="s">
        <v>117</v>
      </c>
    </row>
    <row r="6" spans="1:13" x14ac:dyDescent="0.3">
      <c r="A6" s="98" t="s">
        <v>145</v>
      </c>
      <c r="B6" s="88"/>
      <c r="C6" s="99" t="s">
        <v>146</v>
      </c>
      <c r="D6" s="104">
        <v>0.21180833492783335</v>
      </c>
      <c r="E6" s="104">
        <v>0.18619490278207712</v>
      </c>
      <c r="F6" s="104">
        <v>0.16890049592825968</v>
      </c>
      <c r="G6" s="104">
        <v>0.17040301838119221</v>
      </c>
      <c r="H6" s="87" t="s">
        <v>116</v>
      </c>
      <c r="I6" s="81" t="str">
        <f t="shared" si="0"/>
        <v>N/A</v>
      </c>
      <c r="J6" s="82">
        <f t="shared" si="1"/>
        <v>0.18432668800484059</v>
      </c>
      <c r="K6" s="81" t="str">
        <f t="shared" si="2"/>
        <v>N/A</v>
      </c>
      <c r="L6" s="83" t="s">
        <v>410</v>
      </c>
      <c r="M6" s="84" t="s">
        <v>117</v>
      </c>
    </row>
    <row r="7" spans="1:13" x14ac:dyDescent="0.3">
      <c r="A7" s="98" t="s">
        <v>147</v>
      </c>
      <c r="B7" s="78"/>
      <c r="C7" s="99" t="s">
        <v>54</v>
      </c>
      <c r="D7" s="87">
        <v>450.38299999999998</v>
      </c>
      <c r="E7" s="87">
        <v>500.9359</v>
      </c>
      <c r="F7" s="87">
        <v>535.53969999999993</v>
      </c>
      <c r="G7" s="87">
        <v>516.40499999999997</v>
      </c>
      <c r="H7" s="87">
        <v>395.97500000000002</v>
      </c>
      <c r="I7" s="81">
        <f t="shared" si="0"/>
        <v>-0.23320843136685343</v>
      </c>
      <c r="J7" s="82">
        <f t="shared" si="1"/>
        <v>479.84772000000004</v>
      </c>
      <c r="K7" s="81">
        <f t="shared" si="2"/>
        <v>-0.17479028555142451</v>
      </c>
      <c r="L7" s="83" t="s">
        <v>148</v>
      </c>
      <c r="M7" s="84" t="s">
        <v>149</v>
      </c>
    </row>
    <row r="8" spans="1:13" x14ac:dyDescent="0.3">
      <c r="A8" s="98" t="s">
        <v>150</v>
      </c>
      <c r="B8" s="78"/>
      <c r="C8" s="99" t="s">
        <v>151</v>
      </c>
      <c r="D8" s="87">
        <v>1577.598</v>
      </c>
      <c r="E8" s="87">
        <v>1704.2650000000001</v>
      </c>
      <c r="F8" s="87">
        <v>1910.114</v>
      </c>
      <c r="G8" s="87">
        <v>1841.2329999999999</v>
      </c>
      <c r="H8" s="87">
        <v>1343.18</v>
      </c>
      <c r="I8" s="81">
        <f t="shared" si="0"/>
        <v>-0.27049971405031292</v>
      </c>
      <c r="J8" s="82">
        <f t="shared" si="1"/>
        <v>1675.2780000000002</v>
      </c>
      <c r="K8" s="81">
        <f t="shared" si="2"/>
        <v>-0.19823456166678011</v>
      </c>
      <c r="L8" s="83" t="s">
        <v>148</v>
      </c>
      <c r="M8" s="84" t="s">
        <v>149</v>
      </c>
    </row>
    <row r="9" spans="1:13" x14ac:dyDescent="0.3">
      <c r="A9" s="98" t="s">
        <v>152</v>
      </c>
      <c r="B9" s="78"/>
      <c r="C9" s="99" t="s">
        <v>153</v>
      </c>
      <c r="D9" s="87">
        <v>293.58460766666667</v>
      </c>
      <c r="E9" s="87">
        <v>301.24535325000005</v>
      </c>
      <c r="F9" s="87">
        <v>287.77757666666668</v>
      </c>
      <c r="G9" s="87">
        <v>289.0573573333333</v>
      </c>
      <c r="H9" s="87">
        <v>305.14654575000003</v>
      </c>
      <c r="I9" s="81">
        <f t="shared" si="0"/>
        <v>5.5660885317349251E-2</v>
      </c>
      <c r="J9" s="82">
        <f t="shared" si="1"/>
        <v>295.36228813333338</v>
      </c>
      <c r="K9" s="81">
        <f t="shared" si="2"/>
        <v>3.3126292725122131E-2</v>
      </c>
      <c r="L9" s="83" t="s">
        <v>142</v>
      </c>
      <c r="M9" s="101" t="s">
        <v>143</v>
      </c>
    </row>
    <row r="10" spans="1:13" x14ac:dyDescent="0.3">
      <c r="A10" s="98" t="s">
        <v>154</v>
      </c>
      <c r="B10" s="78"/>
      <c r="C10" s="97" t="s">
        <v>155</v>
      </c>
      <c r="D10" s="87">
        <v>660.625</v>
      </c>
      <c r="E10" s="87">
        <v>541.30711206896547</v>
      </c>
      <c r="F10" s="87">
        <v>484.4657894736842</v>
      </c>
      <c r="G10" s="87">
        <v>600.6649746192893</v>
      </c>
      <c r="H10" s="87">
        <v>837.74095022624431</v>
      </c>
      <c r="I10" s="81">
        <f t="shared" si="0"/>
        <v>0.39468919551571569</v>
      </c>
      <c r="J10" s="82">
        <f t="shared" si="1"/>
        <v>624.96076527763671</v>
      </c>
      <c r="K10" s="81">
        <f t="shared" si="2"/>
        <v>0.34046966909047605</v>
      </c>
      <c r="L10" s="83" t="s">
        <v>142</v>
      </c>
      <c r="M10" s="101" t="s">
        <v>143</v>
      </c>
    </row>
    <row r="11" spans="1:13" x14ac:dyDescent="0.3">
      <c r="A11" s="98" t="s">
        <v>156</v>
      </c>
      <c r="B11" s="78"/>
      <c r="C11" s="97" t="s">
        <v>155</v>
      </c>
      <c r="D11" s="87">
        <v>490.04568245614018</v>
      </c>
      <c r="E11" s="87">
        <v>418.92622950819674</v>
      </c>
      <c r="F11" s="87">
        <v>393.94657258064518</v>
      </c>
      <c r="G11" s="87">
        <v>501.63277706550838</v>
      </c>
      <c r="H11" s="87">
        <v>595.88056680161947</v>
      </c>
      <c r="I11" s="81">
        <f t="shared" si="0"/>
        <v>0.18788204049872759</v>
      </c>
      <c r="J11" s="82">
        <f t="shared" si="1"/>
        <v>480.08636568242201</v>
      </c>
      <c r="K11" s="81">
        <f t="shared" si="2"/>
        <v>0.24119452122869811</v>
      </c>
      <c r="L11" s="83" t="s">
        <v>142</v>
      </c>
      <c r="M11" s="101" t="s">
        <v>143</v>
      </c>
    </row>
    <row r="12" spans="1:13" x14ac:dyDescent="0.3">
      <c r="A12" s="98" t="s">
        <v>157</v>
      </c>
      <c r="B12" s="78"/>
      <c r="C12" s="97" t="s">
        <v>155</v>
      </c>
      <c r="D12" s="87">
        <v>656.71793960483865</v>
      </c>
      <c r="E12" s="87">
        <v>557.45081967213116</v>
      </c>
      <c r="F12" s="87">
        <v>532.55141129032256</v>
      </c>
      <c r="G12" s="87">
        <v>613.5978387600137</v>
      </c>
      <c r="H12" s="87">
        <v>795.77947154471542</v>
      </c>
      <c r="I12" s="81">
        <f t="shared" si="0"/>
        <v>0.29690722697599892</v>
      </c>
      <c r="J12" s="82">
        <f t="shared" si="1"/>
        <v>631.21949617440418</v>
      </c>
      <c r="K12" s="81">
        <f t="shared" si="2"/>
        <v>0.2607016677521059</v>
      </c>
      <c r="L12" s="83" t="s">
        <v>142</v>
      </c>
      <c r="M12" s="101" t="s">
        <v>143</v>
      </c>
    </row>
    <row r="13" spans="1:13" x14ac:dyDescent="0.3">
      <c r="A13" s="156" t="s">
        <v>59</v>
      </c>
      <c r="B13" s="88" t="s">
        <v>60</v>
      </c>
      <c r="C13" s="97" t="s">
        <v>46</v>
      </c>
      <c r="D13" s="80">
        <v>1303.5414880000001</v>
      </c>
      <c r="E13" s="80">
        <v>1479.4857260000001</v>
      </c>
      <c r="F13" s="80">
        <v>1802.57511</v>
      </c>
      <c r="G13" s="80">
        <v>2103.456326</v>
      </c>
      <c r="H13" s="80">
        <v>1551.72783</v>
      </c>
      <c r="I13" s="81">
        <f t="shared" si="0"/>
        <v>-0.26229614999859996</v>
      </c>
      <c r="J13" s="82">
        <f t="shared" si="1"/>
        <v>1648.1572960000001</v>
      </c>
      <c r="K13" s="81">
        <f t="shared" si="2"/>
        <v>-5.850744114899098E-2</v>
      </c>
      <c r="L13" s="83" t="s">
        <v>61</v>
      </c>
      <c r="M13" s="84" t="s">
        <v>62</v>
      </c>
    </row>
    <row r="14" spans="1:13" x14ac:dyDescent="0.3">
      <c r="A14" s="156"/>
      <c r="B14" s="112" t="s">
        <v>65</v>
      </c>
      <c r="C14" s="97" t="s">
        <v>46</v>
      </c>
      <c r="D14" s="80">
        <v>148.58690799999999</v>
      </c>
      <c r="E14" s="80">
        <v>248.96375599999999</v>
      </c>
      <c r="F14" s="80">
        <v>500.51808799999998</v>
      </c>
      <c r="G14" s="80">
        <v>747.03017199999999</v>
      </c>
      <c r="H14" s="80">
        <v>497.868604</v>
      </c>
      <c r="I14" s="81">
        <f t="shared" si="0"/>
        <v>-0.33353615066567888</v>
      </c>
      <c r="J14" s="82">
        <f t="shared" si="1"/>
        <v>428.59350560000001</v>
      </c>
      <c r="K14" s="81">
        <f t="shared" si="2"/>
        <v>0.16163357002579826</v>
      </c>
      <c r="L14" s="83" t="s">
        <v>61</v>
      </c>
      <c r="M14" s="84" t="s">
        <v>62</v>
      </c>
    </row>
    <row r="15" spans="1:13" x14ac:dyDescent="0.3">
      <c r="A15" s="156"/>
      <c r="B15" s="112" t="s">
        <v>73</v>
      </c>
      <c r="C15" s="97" t="s">
        <v>46</v>
      </c>
      <c r="D15" s="80">
        <v>357.53304900000001</v>
      </c>
      <c r="E15" s="80">
        <v>383.31357100000002</v>
      </c>
      <c r="F15" s="80">
        <v>401.82379700000001</v>
      </c>
      <c r="G15" s="80">
        <v>412.29277200000001</v>
      </c>
      <c r="H15" s="80">
        <v>334.40634699999998</v>
      </c>
      <c r="I15" s="81">
        <f t="shared" si="0"/>
        <v>-0.18891047888659085</v>
      </c>
      <c r="J15" s="82">
        <f t="shared" si="1"/>
        <v>377.87390720000002</v>
      </c>
      <c r="K15" s="81">
        <f t="shared" si="2"/>
        <v>-0.11503191771585763</v>
      </c>
      <c r="L15" s="83" t="s">
        <v>61</v>
      </c>
      <c r="M15" s="84" t="s">
        <v>62</v>
      </c>
    </row>
    <row r="16" spans="1:13" x14ac:dyDescent="0.3">
      <c r="A16" s="156"/>
      <c r="B16" s="112" t="s">
        <v>136</v>
      </c>
      <c r="C16" s="97" t="s">
        <v>46</v>
      </c>
      <c r="D16" s="80">
        <v>248.26018300000001</v>
      </c>
      <c r="E16" s="80">
        <v>282.82933000000003</v>
      </c>
      <c r="F16" s="80">
        <v>267.38518199999999</v>
      </c>
      <c r="G16" s="80">
        <v>328.57691699999998</v>
      </c>
      <c r="H16" s="80">
        <v>201.10789399999999</v>
      </c>
      <c r="I16" s="81">
        <f t="shared" si="0"/>
        <v>-0.38794272027331733</v>
      </c>
      <c r="J16" s="82">
        <f t="shared" si="1"/>
        <v>265.63190120000002</v>
      </c>
      <c r="K16" s="81">
        <f t="shared" si="2"/>
        <v>-0.24290759847936527</v>
      </c>
      <c r="L16" s="83" t="s">
        <v>61</v>
      </c>
      <c r="M16" s="84" t="s">
        <v>62</v>
      </c>
    </row>
    <row r="17" spans="1:13" x14ac:dyDescent="0.3">
      <c r="A17" s="98" t="s">
        <v>66</v>
      </c>
      <c r="B17" s="88" t="s">
        <v>60</v>
      </c>
      <c r="C17" s="97" t="s">
        <v>46</v>
      </c>
      <c r="D17" s="80">
        <v>10.30576404</v>
      </c>
      <c r="E17" s="80">
        <v>5.412450119999999</v>
      </c>
      <c r="F17" s="80">
        <v>6.20261905</v>
      </c>
      <c r="G17" s="80">
        <v>7.7520124099999999</v>
      </c>
      <c r="H17" s="80">
        <v>24.422131149999998</v>
      </c>
      <c r="I17" s="81">
        <f t="shared" si="0"/>
        <v>2.1504246714692759</v>
      </c>
      <c r="J17" s="82">
        <f t="shared" si="1"/>
        <v>10.818995353999998</v>
      </c>
      <c r="K17" s="81">
        <f t="shared" si="2"/>
        <v>1.2573381678152447</v>
      </c>
      <c r="L17" s="83" t="s">
        <v>61</v>
      </c>
      <c r="M17" s="84" t="s">
        <v>62</v>
      </c>
    </row>
    <row r="18" spans="1:13" x14ac:dyDescent="0.3">
      <c r="A18" s="98" t="s">
        <v>67</v>
      </c>
      <c r="B18" s="88" t="s">
        <v>60</v>
      </c>
      <c r="C18" s="97" t="s">
        <v>46</v>
      </c>
      <c r="D18" s="80">
        <f>+D13-D17</f>
        <v>1293.2357239600001</v>
      </c>
      <c r="E18" s="80">
        <f t="shared" ref="E18:H18" si="3">+E13-E17</f>
        <v>1474.0732758800002</v>
      </c>
      <c r="F18" s="80">
        <f t="shared" si="3"/>
        <v>1796.3724909499999</v>
      </c>
      <c r="G18" s="80">
        <f t="shared" si="3"/>
        <v>2095.7043135899999</v>
      </c>
      <c r="H18" s="80">
        <f t="shared" si="3"/>
        <v>1527.30569885</v>
      </c>
      <c r="I18" s="81">
        <f t="shared" si="0"/>
        <v>-0.27122080679707972</v>
      </c>
      <c r="J18" s="82">
        <f t="shared" si="1"/>
        <v>1637.3383006459999</v>
      </c>
      <c r="K18" s="81">
        <f t="shared" si="2"/>
        <v>-6.7202118067223648E-2</v>
      </c>
      <c r="L18" s="83" t="s">
        <v>61</v>
      </c>
      <c r="M18" s="84" t="s">
        <v>62</v>
      </c>
    </row>
    <row r="19" spans="1:13" x14ac:dyDescent="0.3">
      <c r="A19" s="13" t="s">
        <v>158</v>
      </c>
    </row>
    <row r="20" spans="1:13" x14ac:dyDescent="0.3">
      <c r="A20" s="13" t="s">
        <v>159</v>
      </c>
    </row>
  </sheetData>
  <mergeCells count="1">
    <mergeCell ref="A13:A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B572-D742-49A2-B5A2-8FBD0664F323}">
  <dimension ref="A1:M18"/>
  <sheetViews>
    <sheetView workbookViewId="0"/>
  </sheetViews>
  <sheetFormatPr defaultRowHeight="14.4" x14ac:dyDescent="0.3"/>
  <cols>
    <col min="1" max="1" width="40.33203125" bestFit="1" customWidth="1"/>
    <col min="2" max="2" width="11.88671875" bestFit="1" customWidth="1"/>
    <col min="3" max="3" width="10.88671875" bestFit="1" customWidth="1"/>
    <col min="4" max="4" width="9.109375" bestFit="1" customWidth="1"/>
    <col min="12" max="12" width="24" bestFit="1" customWidth="1"/>
  </cols>
  <sheetData>
    <row r="1" spans="1:13" x14ac:dyDescent="0.3">
      <c r="A1" s="122" t="s">
        <v>160</v>
      </c>
      <c r="B1" s="122"/>
      <c r="C1" s="122"/>
      <c r="D1" s="122"/>
      <c r="E1" s="122"/>
      <c r="F1" s="122"/>
      <c r="G1" s="122"/>
      <c r="H1" s="122"/>
      <c r="I1" s="122"/>
      <c r="J1" s="122"/>
      <c r="K1" s="122"/>
      <c r="L1" s="122"/>
      <c r="M1" s="122"/>
    </row>
    <row r="2" spans="1:13" x14ac:dyDescent="0.3">
      <c r="A2" s="123" t="s">
        <v>36</v>
      </c>
      <c r="B2" s="119" t="s">
        <v>37</v>
      </c>
      <c r="C2" s="124"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77" t="s">
        <v>161</v>
      </c>
      <c r="B3" s="78"/>
      <c r="C3" s="79" t="s">
        <v>46</v>
      </c>
      <c r="D3" s="80">
        <v>832.55055429999993</v>
      </c>
      <c r="E3" s="80">
        <v>985.28036025999995</v>
      </c>
      <c r="F3" s="80">
        <v>1100.4796549</v>
      </c>
      <c r="G3" s="80">
        <v>1359.9500029999999</v>
      </c>
      <c r="H3" s="80">
        <v>1213.2577660894401</v>
      </c>
      <c r="I3" s="81">
        <f t="shared" ref="I3:I16" si="0">IF(ISBLANK(H3),"N/A",IF(ISNA(H3/G3-1),"N/A",IF(ISERROR(H3/G3-1),"N/A",H3/G3-1)))</f>
        <v>-0.1078659043251311</v>
      </c>
      <c r="J3" s="82">
        <f t="shared" ref="J3:J16" si="1">IF(ISBLANK(H3),"",IF(ISNA(AVERAGE(D3:H3)),"N/A",IF(ISERROR(AVERAGE(D3:H3)),"N/A",AVERAGE(D3:H3))))</f>
        <v>1098.303667709888</v>
      </c>
      <c r="K3" s="81">
        <f t="shared" ref="K3:K16" si="2">IF(ISBLANK(H3),"",IF(ISNA(H3/AVERAGE(D3:H3)-1),"N/A",IF(ISERROR(H3/AVERAGE(D3:H3)-1),"N/A",H3/AVERAGE(D3:H3)-1)))</f>
        <v>0.10466513202058847</v>
      </c>
      <c r="L3" s="83" t="s">
        <v>408</v>
      </c>
      <c r="M3" s="84" t="s">
        <v>47</v>
      </c>
    </row>
    <row r="4" spans="1:13" x14ac:dyDescent="0.3">
      <c r="A4" s="77" t="s">
        <v>162</v>
      </c>
      <c r="B4" s="78"/>
      <c r="C4" s="79" t="s">
        <v>163</v>
      </c>
      <c r="D4" s="86">
        <v>26.928532090000001</v>
      </c>
      <c r="E4" s="86">
        <v>25.222087399999999</v>
      </c>
      <c r="F4" s="86">
        <v>22.36641625</v>
      </c>
      <c r="G4" s="86">
        <v>20.371834920000001</v>
      </c>
      <c r="H4" s="87" t="s">
        <v>116</v>
      </c>
      <c r="I4" s="81" t="str">
        <f t="shared" si="0"/>
        <v>N/A</v>
      </c>
      <c r="J4" s="82">
        <f t="shared" si="1"/>
        <v>23.722217664999999</v>
      </c>
      <c r="K4" s="81" t="str">
        <f t="shared" si="2"/>
        <v>N/A</v>
      </c>
      <c r="L4" s="83" t="s">
        <v>410</v>
      </c>
      <c r="M4" s="84" t="s">
        <v>117</v>
      </c>
    </row>
    <row r="5" spans="1:13" x14ac:dyDescent="0.3">
      <c r="A5" s="77" t="s">
        <v>164</v>
      </c>
      <c r="B5" s="78"/>
      <c r="C5" s="79" t="s">
        <v>163</v>
      </c>
      <c r="D5" s="86">
        <v>5.4128361799999993</v>
      </c>
      <c r="E5" s="86">
        <v>5.0678564599999998</v>
      </c>
      <c r="F5" s="86">
        <v>4.2471460599999995</v>
      </c>
      <c r="G5" s="87" t="s">
        <v>116</v>
      </c>
      <c r="H5" s="87" t="s">
        <v>116</v>
      </c>
      <c r="I5" s="81" t="str">
        <f t="shared" si="0"/>
        <v>N/A</v>
      </c>
      <c r="J5" s="82">
        <f t="shared" si="1"/>
        <v>4.9092795666666662</v>
      </c>
      <c r="K5" s="81" t="str">
        <f t="shared" si="2"/>
        <v>N/A</v>
      </c>
      <c r="L5" s="83" t="s">
        <v>410</v>
      </c>
      <c r="M5" s="84" t="s">
        <v>117</v>
      </c>
    </row>
    <row r="6" spans="1:13" x14ac:dyDescent="0.3">
      <c r="A6" s="77" t="s">
        <v>165</v>
      </c>
      <c r="B6" s="78"/>
      <c r="C6" s="79" t="s">
        <v>163</v>
      </c>
      <c r="D6" s="86">
        <v>15.432419919999999</v>
      </c>
      <c r="E6" s="86">
        <v>14.94027011</v>
      </c>
      <c r="F6" s="86">
        <v>13.683911550000001</v>
      </c>
      <c r="G6" s="86">
        <v>12.165429919999999</v>
      </c>
      <c r="H6" s="87" t="s">
        <v>116</v>
      </c>
      <c r="I6" s="81" t="str">
        <f t="shared" si="0"/>
        <v>N/A</v>
      </c>
      <c r="J6" s="82">
        <f t="shared" si="1"/>
        <v>14.055507875000002</v>
      </c>
      <c r="K6" s="81" t="str">
        <f t="shared" si="2"/>
        <v>N/A</v>
      </c>
      <c r="L6" s="83" t="s">
        <v>410</v>
      </c>
      <c r="M6" s="84" t="s">
        <v>117</v>
      </c>
    </row>
    <row r="7" spans="1:13" x14ac:dyDescent="0.3">
      <c r="A7" s="77" t="s">
        <v>166</v>
      </c>
      <c r="B7" s="78"/>
      <c r="C7" s="85" t="s">
        <v>54</v>
      </c>
      <c r="D7" s="87">
        <v>119.46899999999999</v>
      </c>
      <c r="E7" s="87">
        <v>127.5213</v>
      </c>
      <c r="F7" s="87">
        <v>119.3455</v>
      </c>
      <c r="G7" s="87">
        <v>123.468</v>
      </c>
      <c r="H7" s="87">
        <v>132.30199999999999</v>
      </c>
      <c r="I7" s="81">
        <f t="shared" si="0"/>
        <v>7.1548903359574867E-2</v>
      </c>
      <c r="J7" s="82">
        <f t="shared" si="1"/>
        <v>124.42116000000001</v>
      </c>
      <c r="K7" s="81">
        <f t="shared" si="2"/>
        <v>6.3340029943459664E-2</v>
      </c>
      <c r="L7" s="83" t="s">
        <v>148</v>
      </c>
      <c r="M7" s="84" t="s">
        <v>149</v>
      </c>
    </row>
    <row r="8" spans="1:13" x14ac:dyDescent="0.3">
      <c r="A8" s="77" t="s">
        <v>167</v>
      </c>
      <c r="B8" s="78"/>
      <c r="C8" s="85" t="s">
        <v>54</v>
      </c>
      <c r="D8" s="87">
        <v>45.344999999999999</v>
      </c>
      <c r="E8" s="87">
        <v>65.419600000000003</v>
      </c>
      <c r="F8" s="87">
        <v>68.189700000000002</v>
      </c>
      <c r="G8" s="87">
        <v>69.896000000000001</v>
      </c>
      <c r="H8" s="87">
        <v>34.634999999999998</v>
      </c>
      <c r="I8" s="81">
        <f t="shared" si="0"/>
        <v>-0.50447808172141473</v>
      </c>
      <c r="J8" s="82">
        <f t="shared" si="1"/>
        <v>56.69706</v>
      </c>
      <c r="K8" s="81">
        <f t="shared" si="2"/>
        <v>-0.38912176398564591</v>
      </c>
      <c r="L8" s="83" t="s">
        <v>148</v>
      </c>
      <c r="M8" s="84" t="s">
        <v>149</v>
      </c>
    </row>
    <row r="9" spans="1:13" x14ac:dyDescent="0.3">
      <c r="A9" s="77" t="s">
        <v>168</v>
      </c>
      <c r="B9" s="78"/>
      <c r="C9" s="79" t="s">
        <v>155</v>
      </c>
      <c r="D9" s="86">
        <v>611.42083333333335</v>
      </c>
      <c r="E9" s="86">
        <v>615.53974895397494</v>
      </c>
      <c r="F9" s="86">
        <v>737.33898305084745</v>
      </c>
      <c r="G9" s="86">
        <v>845.41255144032925</v>
      </c>
      <c r="H9" s="86">
        <v>789.11157024793386</v>
      </c>
      <c r="I9" s="81">
        <f t="shared" si="0"/>
        <v>-6.6595866238885915E-2</v>
      </c>
      <c r="J9" s="82">
        <f t="shared" si="1"/>
        <v>719.76473740528377</v>
      </c>
      <c r="K9" s="81">
        <f t="shared" si="2"/>
        <v>9.634652718976211E-2</v>
      </c>
      <c r="L9" s="83" t="s">
        <v>142</v>
      </c>
      <c r="M9" s="101" t="s">
        <v>143</v>
      </c>
    </row>
    <row r="10" spans="1:13" x14ac:dyDescent="0.3">
      <c r="A10" s="77" t="s">
        <v>169</v>
      </c>
      <c r="B10" s="78"/>
      <c r="C10" s="79" t="s">
        <v>155</v>
      </c>
      <c r="D10" s="83">
        <v>423.93571526431714</v>
      </c>
      <c r="E10" s="83">
        <v>434.9590163934426</v>
      </c>
      <c r="F10" s="83">
        <v>469.62799999999999</v>
      </c>
      <c r="G10" s="83">
        <v>616.18660357069757</v>
      </c>
      <c r="H10" s="83">
        <v>639.7822580645161</v>
      </c>
      <c r="I10" s="81">
        <f t="shared" si="0"/>
        <v>3.8293033891171335E-2</v>
      </c>
      <c r="J10" s="82">
        <f t="shared" si="1"/>
        <v>516.89831865859469</v>
      </c>
      <c r="K10" s="81">
        <f t="shared" si="2"/>
        <v>0.23773329293238588</v>
      </c>
      <c r="L10" s="83" t="s">
        <v>142</v>
      </c>
      <c r="M10" s="101" t="s">
        <v>143</v>
      </c>
    </row>
    <row r="11" spans="1:13" x14ac:dyDescent="0.3">
      <c r="A11" s="158" t="s">
        <v>59</v>
      </c>
      <c r="B11" s="88" t="s">
        <v>60</v>
      </c>
      <c r="C11" s="79" t="s">
        <v>46</v>
      </c>
      <c r="D11" s="80">
        <v>561.29422999999997</v>
      </c>
      <c r="E11" s="80">
        <v>741.03124200000002</v>
      </c>
      <c r="F11" s="80">
        <v>927.05228799999998</v>
      </c>
      <c r="G11" s="80">
        <v>1097.935342</v>
      </c>
      <c r="H11" s="80">
        <v>1051.42516</v>
      </c>
      <c r="I11" s="81">
        <f t="shared" si="0"/>
        <v>-4.2361494544184142E-2</v>
      </c>
      <c r="J11" s="82">
        <f t="shared" si="1"/>
        <v>875.74765239999999</v>
      </c>
      <c r="K11" s="81">
        <f t="shared" si="2"/>
        <v>0.20060288727986086</v>
      </c>
      <c r="L11" s="83" t="s">
        <v>61</v>
      </c>
      <c r="M11" s="84" t="s">
        <v>62</v>
      </c>
    </row>
    <row r="12" spans="1:13" x14ac:dyDescent="0.3">
      <c r="A12" s="158"/>
      <c r="B12" s="89" t="s">
        <v>65</v>
      </c>
      <c r="C12" s="79" t="s">
        <v>46</v>
      </c>
      <c r="D12" s="80">
        <v>102.672606</v>
      </c>
      <c r="E12" s="80">
        <v>224.30800500000001</v>
      </c>
      <c r="F12" s="80">
        <v>350.99996499999997</v>
      </c>
      <c r="G12" s="80">
        <v>482.13167399999998</v>
      </c>
      <c r="H12" s="80">
        <v>454.601159</v>
      </c>
      <c r="I12" s="81">
        <f t="shared" si="0"/>
        <v>-5.7101651861188429E-2</v>
      </c>
      <c r="J12" s="82">
        <f t="shared" si="1"/>
        <v>322.9426818</v>
      </c>
      <c r="K12" s="81">
        <f t="shared" si="2"/>
        <v>0.40768373033310201</v>
      </c>
      <c r="L12" s="83" t="s">
        <v>61</v>
      </c>
      <c r="M12" s="84" t="s">
        <v>62</v>
      </c>
    </row>
    <row r="13" spans="1:13" x14ac:dyDescent="0.3">
      <c r="A13" s="158"/>
      <c r="B13" s="89" t="s">
        <v>136</v>
      </c>
      <c r="C13" s="79" t="s">
        <v>46</v>
      </c>
      <c r="D13" s="80">
        <v>182.64807999999999</v>
      </c>
      <c r="E13" s="80">
        <v>184.131866</v>
      </c>
      <c r="F13" s="80">
        <v>237.47554500000001</v>
      </c>
      <c r="G13" s="80">
        <v>264.10393299999998</v>
      </c>
      <c r="H13" s="80">
        <v>260.48960899999997</v>
      </c>
      <c r="I13" s="81">
        <f t="shared" si="0"/>
        <v>-1.3685233532663821E-2</v>
      </c>
      <c r="J13" s="82">
        <f t="shared" si="1"/>
        <v>225.76980659999998</v>
      </c>
      <c r="K13" s="81">
        <f t="shared" si="2"/>
        <v>0.1537840817727838</v>
      </c>
      <c r="L13" s="83" t="s">
        <v>61</v>
      </c>
      <c r="M13" s="84" t="s">
        <v>62</v>
      </c>
    </row>
    <row r="14" spans="1:13" x14ac:dyDescent="0.3">
      <c r="A14" s="158"/>
      <c r="B14" s="89" t="s">
        <v>73</v>
      </c>
      <c r="C14" s="79" t="s">
        <v>46</v>
      </c>
      <c r="D14" s="80">
        <v>34.346775999999998</v>
      </c>
      <c r="E14" s="80">
        <v>46.511450000000004</v>
      </c>
      <c r="F14" s="80">
        <v>50.965282999999999</v>
      </c>
      <c r="G14" s="80">
        <v>56.346240999999999</v>
      </c>
      <c r="H14" s="80">
        <v>57.385254000000003</v>
      </c>
      <c r="I14" s="81">
        <f t="shared" si="0"/>
        <v>1.8439792638518693E-2</v>
      </c>
      <c r="J14" s="82">
        <f t="shared" si="1"/>
        <v>49.111000799999999</v>
      </c>
      <c r="K14" s="81">
        <f t="shared" si="2"/>
        <v>0.16848064721173439</v>
      </c>
      <c r="L14" s="83" t="s">
        <v>61</v>
      </c>
      <c r="M14" s="84" t="s">
        <v>62</v>
      </c>
    </row>
    <row r="15" spans="1:13" x14ac:dyDescent="0.3">
      <c r="A15" s="77" t="s">
        <v>66</v>
      </c>
      <c r="B15" s="88" t="s">
        <v>60</v>
      </c>
      <c r="C15" s="79" t="s">
        <v>46</v>
      </c>
      <c r="D15" s="80">
        <v>0.47567795000000002</v>
      </c>
      <c r="E15" s="80">
        <v>1.01932592</v>
      </c>
      <c r="F15" s="80">
        <v>0.87896863000000003</v>
      </c>
      <c r="G15" s="80">
        <v>1.04898867</v>
      </c>
      <c r="H15" s="80">
        <v>3.1704763499999995</v>
      </c>
      <c r="I15" s="81">
        <f t="shared" si="0"/>
        <v>2.022412386970776</v>
      </c>
      <c r="J15" s="82">
        <f t="shared" si="1"/>
        <v>1.3186875040000001</v>
      </c>
      <c r="K15" s="81">
        <f t="shared" si="2"/>
        <v>1.4042666214572694</v>
      </c>
      <c r="L15" s="83" t="s">
        <v>61</v>
      </c>
      <c r="M15" s="84" t="s">
        <v>62</v>
      </c>
    </row>
    <row r="16" spans="1:13" x14ac:dyDescent="0.3">
      <c r="A16" s="90" t="s">
        <v>67</v>
      </c>
      <c r="B16" s="91" t="s">
        <v>60</v>
      </c>
      <c r="C16" s="92" t="s">
        <v>46</v>
      </c>
      <c r="D16" s="80">
        <f>+D11-D15</f>
        <v>560.81855204999999</v>
      </c>
      <c r="E16" s="80">
        <f t="shared" ref="E16:H16" si="3">+E11-E15</f>
        <v>740.01191607999999</v>
      </c>
      <c r="F16" s="80">
        <f t="shared" si="3"/>
        <v>926.17331936999994</v>
      </c>
      <c r="G16" s="80">
        <f t="shared" si="3"/>
        <v>1096.88635333</v>
      </c>
      <c r="H16" s="80">
        <f t="shared" si="3"/>
        <v>1048.2546836500001</v>
      </c>
      <c r="I16" s="81">
        <f t="shared" si="0"/>
        <v>-4.4336106044496559E-2</v>
      </c>
      <c r="J16" s="82">
        <f t="shared" si="1"/>
        <v>874.42896489599991</v>
      </c>
      <c r="K16" s="81">
        <f t="shared" si="2"/>
        <v>0.19878769543581409</v>
      </c>
      <c r="L16" s="83" t="s">
        <v>61</v>
      </c>
      <c r="M16" s="84" t="s">
        <v>62</v>
      </c>
    </row>
    <row r="17" spans="1:1" x14ac:dyDescent="0.3">
      <c r="A17" s="13" t="s">
        <v>158</v>
      </c>
    </row>
    <row r="18" spans="1:1" x14ac:dyDescent="0.3">
      <c r="A18" s="13" t="s">
        <v>159</v>
      </c>
    </row>
  </sheetData>
  <mergeCells count="1">
    <mergeCell ref="A11:A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68CD-6820-4CCF-87A9-7AD301B3BDFA}">
  <dimension ref="A1:M15"/>
  <sheetViews>
    <sheetView workbookViewId="0"/>
  </sheetViews>
  <sheetFormatPr defaultRowHeight="14.4" x14ac:dyDescent="0.3"/>
  <cols>
    <col min="1" max="1" width="35" bestFit="1" customWidth="1"/>
    <col min="12" max="12" width="24" bestFit="1" customWidth="1"/>
  </cols>
  <sheetData>
    <row r="1" spans="1:13" x14ac:dyDescent="0.3">
      <c r="A1" s="122" t="s">
        <v>170</v>
      </c>
      <c r="B1" s="122"/>
      <c r="C1" s="122"/>
      <c r="D1" s="122"/>
      <c r="E1" s="122"/>
      <c r="F1" s="122"/>
      <c r="G1" s="122"/>
      <c r="H1" s="122"/>
      <c r="I1" s="122"/>
      <c r="J1" s="122"/>
      <c r="K1" s="122"/>
      <c r="L1" s="122"/>
      <c r="M1" s="122"/>
    </row>
    <row r="2" spans="1:13" x14ac:dyDescent="0.3">
      <c r="A2" s="123" t="s">
        <v>36</v>
      </c>
      <c r="B2" s="119" t="s">
        <v>37</v>
      </c>
      <c r="C2" s="124"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77" t="s">
        <v>171</v>
      </c>
      <c r="B3" s="78"/>
      <c r="C3" s="79" t="s">
        <v>46</v>
      </c>
      <c r="D3" s="80">
        <v>12.359257289999999</v>
      </c>
      <c r="E3" s="80">
        <v>10.219749310000001</v>
      </c>
      <c r="F3" s="80">
        <v>6.6974224500000004</v>
      </c>
      <c r="G3" s="80">
        <v>10.254192029999999</v>
      </c>
      <c r="H3" s="80">
        <v>8.0822193728835252</v>
      </c>
      <c r="I3" s="81">
        <f t="shared" ref="I3:I11" si="0">IF(ISBLANK(H3),"N/A",IF(ISNA(H3/G3-1),"N/A",IF(ISERROR(H3/G3-1),"N/A",H3/G3-1)))</f>
        <v>-0.21181314439617271</v>
      </c>
      <c r="J3" s="82">
        <f t="shared" ref="J3:J11" si="1">IF(ISBLANK(H3),"",IF(ISNA(AVERAGE(D3:H3)),"N/A",IF(ISERROR(AVERAGE(D3:H3)),"N/A",AVERAGE(D3:H3))))</f>
        <v>9.5225680905767067</v>
      </c>
      <c r="K3" s="81">
        <f t="shared" ref="K3:K11" si="2">IF(ISBLANK(H3),"",IF(ISNA(H3/AVERAGE(D3:H3)-1),"N/A",IF(ISERROR(H3/AVERAGE(D3:H3)-1),"N/A",H3/AVERAGE(D3:H3)-1)))</f>
        <v>-0.15125633169465225</v>
      </c>
      <c r="L3" s="83" t="s">
        <v>142</v>
      </c>
      <c r="M3" s="101" t="s">
        <v>143</v>
      </c>
    </row>
    <row r="4" spans="1:13" x14ac:dyDescent="0.3">
      <c r="A4" s="77" t="s">
        <v>172</v>
      </c>
      <c r="B4" s="78"/>
      <c r="C4" s="85" t="s">
        <v>173</v>
      </c>
      <c r="D4" s="83">
        <v>1385</v>
      </c>
      <c r="E4" s="83">
        <v>1438</v>
      </c>
      <c r="F4" s="83">
        <v>884</v>
      </c>
      <c r="G4" s="83">
        <v>974</v>
      </c>
      <c r="H4" s="83">
        <v>518</v>
      </c>
      <c r="I4" s="81">
        <f t="shared" si="0"/>
        <v>-0.46817248459958927</v>
      </c>
      <c r="J4" s="82">
        <f t="shared" si="1"/>
        <v>1039.8</v>
      </c>
      <c r="K4" s="81">
        <f t="shared" si="2"/>
        <v>-0.50182727447586073</v>
      </c>
      <c r="L4" s="83" t="s">
        <v>148</v>
      </c>
      <c r="M4" s="84" t="s">
        <v>149</v>
      </c>
    </row>
    <row r="5" spans="1:13" x14ac:dyDescent="0.3">
      <c r="A5" s="77" t="s">
        <v>174</v>
      </c>
      <c r="B5" s="78"/>
      <c r="C5" s="79" t="s">
        <v>155</v>
      </c>
      <c r="D5" s="86">
        <v>615.59183673469386</v>
      </c>
      <c r="E5" s="86">
        <v>498.20833333333331</v>
      </c>
      <c r="F5" s="86">
        <v>620.58333333333337</v>
      </c>
      <c r="G5" s="86">
        <v>860.01960784313724</v>
      </c>
      <c r="H5" s="86">
        <v>817.08500000000004</v>
      </c>
      <c r="I5" s="81">
        <f t="shared" si="0"/>
        <v>-4.9922824377009123E-2</v>
      </c>
      <c r="J5" s="82">
        <f t="shared" si="1"/>
        <v>682.29762224889953</v>
      </c>
      <c r="K5" s="81">
        <f t="shared" si="2"/>
        <v>0.19754924149791431</v>
      </c>
      <c r="L5" s="83" t="s">
        <v>142</v>
      </c>
      <c r="M5" s="101" t="s">
        <v>143</v>
      </c>
    </row>
    <row r="6" spans="1:13" x14ac:dyDescent="0.3">
      <c r="A6" s="158" t="s">
        <v>59</v>
      </c>
      <c r="B6" s="88" t="s">
        <v>60</v>
      </c>
      <c r="C6" s="79" t="s">
        <v>46</v>
      </c>
      <c r="D6" s="80">
        <v>5.1000430000000003</v>
      </c>
      <c r="E6" s="80">
        <v>11.922556999999999</v>
      </c>
      <c r="F6" s="80">
        <v>5.7913579999999998</v>
      </c>
      <c r="G6" s="80">
        <v>1.3317479999999999</v>
      </c>
      <c r="H6" s="80">
        <v>3.1523319999999999</v>
      </c>
      <c r="I6" s="81">
        <f t="shared" si="0"/>
        <v>1.3670634384282914</v>
      </c>
      <c r="J6" s="82">
        <f t="shared" si="1"/>
        <v>5.4596076</v>
      </c>
      <c r="K6" s="81">
        <f t="shared" si="2"/>
        <v>-0.42260832078847577</v>
      </c>
      <c r="L6" s="83" t="s">
        <v>61</v>
      </c>
      <c r="M6" s="84" t="s">
        <v>62</v>
      </c>
    </row>
    <row r="7" spans="1:13" x14ac:dyDescent="0.3">
      <c r="A7" s="158"/>
      <c r="B7" s="112" t="s">
        <v>136</v>
      </c>
      <c r="C7" s="79" t="s">
        <v>46</v>
      </c>
      <c r="D7" s="80">
        <v>2.2591329999999998</v>
      </c>
      <c r="E7" s="80">
        <v>7.439406</v>
      </c>
      <c r="F7" s="80">
        <v>0.12424499999999999</v>
      </c>
      <c r="G7" s="80">
        <v>0.63783999999999996</v>
      </c>
      <c r="H7" s="80">
        <v>1.340225</v>
      </c>
      <c r="I7" s="81">
        <f t="shared" si="0"/>
        <v>1.1011930891759691</v>
      </c>
      <c r="J7" s="82">
        <f t="shared" si="1"/>
        <v>2.3601698000000004</v>
      </c>
      <c r="K7" s="81">
        <f t="shared" si="2"/>
        <v>-0.43214890725235122</v>
      </c>
      <c r="L7" s="83" t="s">
        <v>61</v>
      </c>
      <c r="M7" s="84" t="s">
        <v>62</v>
      </c>
    </row>
    <row r="8" spans="1:13" x14ac:dyDescent="0.3">
      <c r="A8" s="158"/>
      <c r="B8" s="112" t="s">
        <v>175</v>
      </c>
      <c r="C8" s="79" t="s">
        <v>46</v>
      </c>
      <c r="D8" s="80">
        <v>2.1599200000000001</v>
      </c>
      <c r="E8" s="80">
        <v>1.1837169999999999</v>
      </c>
      <c r="F8" s="80">
        <v>0.53577900000000001</v>
      </c>
      <c r="G8" s="80">
        <v>0.22309999999999999</v>
      </c>
      <c r="H8" s="80">
        <v>0.73717999999999995</v>
      </c>
      <c r="I8" s="81">
        <f t="shared" si="0"/>
        <v>2.3042581801882562</v>
      </c>
      <c r="J8" s="82">
        <f t="shared" si="1"/>
        <v>0.9679392</v>
      </c>
      <c r="K8" s="81">
        <f t="shared" si="2"/>
        <v>-0.23840257735196602</v>
      </c>
      <c r="L8" s="83" t="s">
        <v>61</v>
      </c>
      <c r="M8" s="84" t="s">
        <v>62</v>
      </c>
    </row>
    <row r="9" spans="1:13" x14ac:dyDescent="0.3">
      <c r="A9" s="158"/>
      <c r="B9" s="112" t="s">
        <v>176</v>
      </c>
      <c r="C9" s="79" t="s">
        <v>46</v>
      </c>
      <c r="D9" s="80">
        <v>0</v>
      </c>
      <c r="E9" s="80">
        <v>1.144795</v>
      </c>
      <c r="F9" s="80">
        <v>3.5063279999999999</v>
      </c>
      <c r="G9" s="80">
        <v>0</v>
      </c>
      <c r="H9" s="80">
        <v>0</v>
      </c>
      <c r="I9" s="81" t="str">
        <f t="shared" si="0"/>
        <v>N/A</v>
      </c>
      <c r="J9" s="82">
        <f t="shared" si="1"/>
        <v>0.93022460000000007</v>
      </c>
      <c r="K9" s="81">
        <f t="shared" si="2"/>
        <v>-1</v>
      </c>
      <c r="L9" s="83" t="s">
        <v>61</v>
      </c>
      <c r="M9" s="84" t="s">
        <v>62</v>
      </c>
    </row>
    <row r="10" spans="1:13" x14ac:dyDescent="0.3">
      <c r="A10" s="77" t="s">
        <v>66</v>
      </c>
      <c r="B10" s="88" t="s">
        <v>60</v>
      </c>
      <c r="C10" s="79" t="s">
        <v>46</v>
      </c>
      <c r="D10" s="80">
        <v>1.740355E-2</v>
      </c>
      <c r="E10" s="80">
        <v>0</v>
      </c>
      <c r="F10" s="80">
        <v>0</v>
      </c>
      <c r="G10" s="80">
        <v>0</v>
      </c>
      <c r="H10" s="80">
        <v>0</v>
      </c>
      <c r="I10" s="81" t="str">
        <f t="shared" si="0"/>
        <v>N/A</v>
      </c>
      <c r="J10" s="82">
        <f t="shared" si="1"/>
        <v>3.4807100000000001E-3</v>
      </c>
      <c r="K10" s="81">
        <f t="shared" si="2"/>
        <v>-1</v>
      </c>
      <c r="L10" s="83" t="s">
        <v>61</v>
      </c>
      <c r="M10" s="84" t="s">
        <v>62</v>
      </c>
    </row>
    <row r="11" spans="1:13" x14ac:dyDescent="0.3">
      <c r="A11" s="90" t="s">
        <v>67</v>
      </c>
      <c r="B11" s="91" t="s">
        <v>60</v>
      </c>
      <c r="C11" s="92" t="s">
        <v>46</v>
      </c>
      <c r="D11" s="80">
        <f>+D6-D10</f>
        <v>5.0826394500000003</v>
      </c>
      <c r="E11" s="80">
        <f t="shared" ref="E11:H11" si="3">+E6-E10</f>
        <v>11.922556999999999</v>
      </c>
      <c r="F11" s="80">
        <f t="shared" si="3"/>
        <v>5.7913579999999998</v>
      </c>
      <c r="G11" s="80">
        <f t="shared" si="3"/>
        <v>1.3317479999999999</v>
      </c>
      <c r="H11" s="80">
        <f t="shared" si="3"/>
        <v>3.1523319999999999</v>
      </c>
      <c r="I11" s="81">
        <f t="shared" si="0"/>
        <v>1.3670634384282914</v>
      </c>
      <c r="J11" s="82">
        <f t="shared" si="1"/>
        <v>5.4561268900000002</v>
      </c>
      <c r="K11" s="81">
        <f t="shared" si="2"/>
        <v>-0.42223997653397682</v>
      </c>
      <c r="L11" s="83" t="s">
        <v>61</v>
      </c>
      <c r="M11" s="84" t="s">
        <v>62</v>
      </c>
    </row>
    <row r="12" spans="1:13" x14ac:dyDescent="0.3">
      <c r="A12" s="13" t="s">
        <v>68</v>
      </c>
    </row>
    <row r="13" spans="1:13" x14ac:dyDescent="0.3">
      <c r="A13" s="13" t="s">
        <v>69</v>
      </c>
    </row>
    <row r="14" spans="1:13" x14ac:dyDescent="0.3">
      <c r="A14" s="13" t="s">
        <v>177</v>
      </c>
    </row>
    <row r="15" spans="1:13" x14ac:dyDescent="0.3">
      <c r="A15" s="13" t="s">
        <v>178</v>
      </c>
    </row>
  </sheetData>
  <mergeCells count="1">
    <mergeCell ref="A6:A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CF9C-C142-4E6A-8E38-F36E7BC092C0}">
  <dimension ref="A1:M15"/>
  <sheetViews>
    <sheetView workbookViewId="0"/>
  </sheetViews>
  <sheetFormatPr defaultRowHeight="14.4" x14ac:dyDescent="0.3"/>
  <cols>
    <col min="1" max="1" width="20.33203125" bestFit="1" customWidth="1"/>
    <col min="2" max="2" width="16.44140625" bestFit="1" customWidth="1"/>
    <col min="3" max="3" width="10" bestFit="1" customWidth="1"/>
    <col min="12" max="12" width="24" bestFit="1" customWidth="1"/>
  </cols>
  <sheetData>
    <row r="1" spans="1:13" x14ac:dyDescent="0.3">
      <c r="A1" s="122" t="s">
        <v>22</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97" t="s">
        <v>46</v>
      </c>
      <c r="D3" s="80">
        <v>224.42336659999998</v>
      </c>
      <c r="E3" s="80">
        <v>200.61968869</v>
      </c>
      <c r="F3" s="80">
        <v>193.76167734999999</v>
      </c>
      <c r="G3" s="80">
        <v>245.90688943999999</v>
      </c>
      <c r="H3" s="80">
        <v>235.74987261439861</v>
      </c>
      <c r="I3" s="94">
        <f t="shared" ref="I3:I12" si="0">IF(ISBLANK(H3),"N/A",IF(ISNA(H3/G3-1),"N/A",IF(ISERROR(H3/G3-1),"N/A",H3/G3-1)))</f>
        <v>-4.1304319894134744E-2</v>
      </c>
      <c r="J3" s="95">
        <f t="shared" ref="J3:J12" si="1">IF(ISBLANK(H3),"",IF(ISNA(AVERAGE(D3:H3)),"N/A",IF(ISERROR(AVERAGE(D3:H3)),"N/A",AVERAGE(D3:H3))))</f>
        <v>220.09229893887974</v>
      </c>
      <c r="K3" s="94">
        <f t="shared" ref="K3:K12" si="2">IF(ISBLANK(H3),"",IF(ISNA(H3/AVERAGE(D3:H3)-1),"N/A",IF(ISERROR(H3/AVERAGE(D3:H3)-1),"N/A",H3/AVERAGE(D3:H3)-1)))</f>
        <v>7.11409429180756E-2</v>
      </c>
      <c r="L3" s="78" t="s">
        <v>408</v>
      </c>
      <c r="M3" s="97" t="s">
        <v>47</v>
      </c>
    </row>
    <row r="4" spans="1:13" x14ac:dyDescent="0.3">
      <c r="A4" s="98" t="s">
        <v>179</v>
      </c>
      <c r="B4" s="78"/>
      <c r="C4" s="99" t="s">
        <v>141</v>
      </c>
      <c r="D4" s="107">
        <v>512.38887999999997</v>
      </c>
      <c r="E4" s="107">
        <v>462.55353000000002</v>
      </c>
      <c r="F4" s="107">
        <v>443.42899999999997</v>
      </c>
      <c r="G4" s="87">
        <v>435.38722999999999</v>
      </c>
      <c r="H4" s="87" t="s">
        <v>116</v>
      </c>
      <c r="I4" s="94" t="str">
        <f t="shared" si="0"/>
        <v>N/A</v>
      </c>
      <c r="J4" s="95">
        <f t="shared" si="1"/>
        <v>463.43966</v>
      </c>
      <c r="K4" s="94" t="str">
        <f t="shared" si="2"/>
        <v>N/A</v>
      </c>
      <c r="L4" s="78" t="s">
        <v>410</v>
      </c>
      <c r="M4" s="97" t="s">
        <v>117</v>
      </c>
    </row>
    <row r="5" spans="1:13" x14ac:dyDescent="0.3">
      <c r="A5" s="98" t="s">
        <v>180</v>
      </c>
      <c r="B5" s="78"/>
      <c r="C5" s="99" t="s">
        <v>54</v>
      </c>
      <c r="D5" s="83">
        <v>65.304000000000002</v>
      </c>
      <c r="E5" s="83">
        <v>66.927000000000007</v>
      </c>
      <c r="F5" s="83">
        <v>63.62</v>
      </c>
      <c r="G5" s="83">
        <v>62.795000000000002</v>
      </c>
      <c r="H5" s="83">
        <v>64.649000000000001</v>
      </c>
      <c r="I5" s="94">
        <f t="shared" si="0"/>
        <v>2.9524643681821727E-2</v>
      </c>
      <c r="J5" s="95">
        <f t="shared" si="1"/>
        <v>64.659000000000006</v>
      </c>
      <c r="K5" s="94">
        <f t="shared" si="2"/>
        <v>-1.5465751094212443E-4</v>
      </c>
      <c r="L5" s="78" t="s">
        <v>148</v>
      </c>
      <c r="M5" s="97" t="s">
        <v>149</v>
      </c>
    </row>
    <row r="6" spans="1:13" x14ac:dyDescent="0.3">
      <c r="A6" s="98" t="s">
        <v>181</v>
      </c>
      <c r="B6" s="78"/>
      <c r="C6" s="97" t="s">
        <v>182</v>
      </c>
      <c r="D6" s="105">
        <v>337.916</v>
      </c>
      <c r="E6" s="105">
        <v>274.49</v>
      </c>
      <c r="F6" s="105">
        <v>294.75799999999998</v>
      </c>
      <c r="G6" s="105">
        <v>377.21899999999999</v>
      </c>
      <c r="H6" s="105">
        <v>341.916</v>
      </c>
      <c r="I6" s="94">
        <f t="shared" si="0"/>
        <v>-9.3587544635874598E-2</v>
      </c>
      <c r="J6" s="95">
        <f t="shared" si="1"/>
        <v>325.25979999999998</v>
      </c>
      <c r="K6" s="94">
        <f t="shared" si="2"/>
        <v>5.1208910538591113E-2</v>
      </c>
      <c r="L6" s="106" t="s">
        <v>409</v>
      </c>
      <c r="M6" s="97" t="s">
        <v>58</v>
      </c>
    </row>
    <row r="7" spans="1:13" x14ac:dyDescent="0.3">
      <c r="A7" s="156" t="s">
        <v>59</v>
      </c>
      <c r="B7" s="88" t="s">
        <v>60</v>
      </c>
      <c r="C7" s="97" t="s">
        <v>46</v>
      </c>
      <c r="D7" s="80">
        <v>29.385045999999999</v>
      </c>
      <c r="E7" s="80">
        <v>31.189703000000002</v>
      </c>
      <c r="F7" s="80">
        <v>30.080116</v>
      </c>
      <c r="G7" s="80">
        <v>23.306242999999998</v>
      </c>
      <c r="H7" s="80">
        <v>21.528462000000001</v>
      </c>
      <c r="I7" s="94">
        <f t="shared" si="0"/>
        <v>-7.6279175498170093E-2</v>
      </c>
      <c r="J7" s="95">
        <f t="shared" si="1"/>
        <v>27.097913999999996</v>
      </c>
      <c r="K7" s="94">
        <f t="shared" si="2"/>
        <v>-0.20553065449982588</v>
      </c>
      <c r="L7" s="78" t="s">
        <v>61</v>
      </c>
      <c r="M7" s="97" t="s">
        <v>62</v>
      </c>
    </row>
    <row r="8" spans="1:13" x14ac:dyDescent="0.3">
      <c r="A8" s="156"/>
      <c r="B8" s="89" t="s">
        <v>183</v>
      </c>
      <c r="C8" s="97" t="s">
        <v>46</v>
      </c>
      <c r="D8" s="80">
        <v>12.298526000000001</v>
      </c>
      <c r="E8" s="80">
        <v>11.379702999999999</v>
      </c>
      <c r="F8" s="80">
        <v>9.4225779999999997</v>
      </c>
      <c r="G8" s="80">
        <v>7.3615170000000001</v>
      </c>
      <c r="H8" s="80">
        <v>8.8282710000000009</v>
      </c>
      <c r="I8" s="94">
        <f t="shared" si="0"/>
        <v>0.19924616081169155</v>
      </c>
      <c r="J8" s="95">
        <f t="shared" si="1"/>
        <v>9.8581190000000003</v>
      </c>
      <c r="K8" s="94">
        <f t="shared" si="2"/>
        <v>-0.10446698807348531</v>
      </c>
      <c r="L8" s="78" t="s">
        <v>61</v>
      </c>
      <c r="M8" s="97" t="s">
        <v>62</v>
      </c>
    </row>
    <row r="9" spans="1:13" x14ac:dyDescent="0.3">
      <c r="A9" s="156"/>
      <c r="B9" s="89" t="s">
        <v>109</v>
      </c>
      <c r="C9" s="97" t="s">
        <v>46</v>
      </c>
      <c r="D9" s="80">
        <v>4.751341</v>
      </c>
      <c r="E9" s="80">
        <v>6.3201929999999997</v>
      </c>
      <c r="F9" s="80">
        <v>4.8186689999999999</v>
      </c>
      <c r="G9" s="80">
        <v>3.3838200000000001</v>
      </c>
      <c r="H9" s="80">
        <v>2.9607510000000001</v>
      </c>
      <c r="I9" s="94">
        <f t="shared" si="0"/>
        <v>-0.12502704044541368</v>
      </c>
      <c r="J9" s="95">
        <f t="shared" si="1"/>
        <v>4.4469548000000003</v>
      </c>
      <c r="K9" s="94">
        <f t="shared" si="2"/>
        <v>-0.33420708481228545</v>
      </c>
      <c r="L9" s="78" t="s">
        <v>61</v>
      </c>
      <c r="M9" s="97" t="s">
        <v>62</v>
      </c>
    </row>
    <row r="10" spans="1:13" x14ac:dyDescent="0.3">
      <c r="A10" s="156"/>
      <c r="B10" s="89" t="s">
        <v>80</v>
      </c>
      <c r="C10" s="97" t="s">
        <v>46</v>
      </c>
      <c r="D10" s="80">
        <v>2.8119320000000001</v>
      </c>
      <c r="E10" s="80">
        <v>4.356617</v>
      </c>
      <c r="F10" s="80">
        <v>3.2919200000000002</v>
      </c>
      <c r="G10" s="80">
        <v>2.5847889999999998</v>
      </c>
      <c r="H10" s="80">
        <v>1.070611</v>
      </c>
      <c r="I10" s="94">
        <f t="shared" si="0"/>
        <v>-0.58580332862759787</v>
      </c>
      <c r="J10" s="95">
        <f t="shared" si="1"/>
        <v>2.8231738000000002</v>
      </c>
      <c r="K10" s="94">
        <f t="shared" si="2"/>
        <v>-0.62077750934072862</v>
      </c>
      <c r="L10" s="78" t="s">
        <v>61</v>
      </c>
      <c r="M10" s="97" t="s">
        <v>62</v>
      </c>
    </row>
    <row r="11" spans="1:13" x14ac:dyDescent="0.3">
      <c r="A11" s="98" t="s">
        <v>66</v>
      </c>
      <c r="B11" s="88" t="s">
        <v>60</v>
      </c>
      <c r="C11" s="97" t="s">
        <v>46</v>
      </c>
      <c r="D11" s="80">
        <v>169.79119075</v>
      </c>
      <c r="E11" s="80">
        <v>154.54380483999998</v>
      </c>
      <c r="F11" s="80">
        <v>168.35336942000001</v>
      </c>
      <c r="G11" s="80">
        <v>230.00815528000001</v>
      </c>
      <c r="H11" s="80">
        <v>174.49798494999999</v>
      </c>
      <c r="I11" s="94">
        <f t="shared" si="0"/>
        <v>-0.24134000928108312</v>
      </c>
      <c r="J11" s="95">
        <f t="shared" si="1"/>
        <v>179.43890104799999</v>
      </c>
      <c r="K11" s="94">
        <f t="shared" si="2"/>
        <v>-2.7535367577169345E-2</v>
      </c>
      <c r="L11" s="78" t="s">
        <v>61</v>
      </c>
      <c r="M11" s="97" t="s">
        <v>62</v>
      </c>
    </row>
    <row r="12" spans="1:13" x14ac:dyDescent="0.3">
      <c r="A12" s="98" t="s">
        <v>67</v>
      </c>
      <c r="B12" s="88" t="s">
        <v>60</v>
      </c>
      <c r="C12" s="97" t="s">
        <v>46</v>
      </c>
      <c r="D12" s="80">
        <f>+D7-D11</f>
        <v>-140.40614475000001</v>
      </c>
      <c r="E12" s="80">
        <f t="shared" ref="E12:H12" si="3">+E7-E11</f>
        <v>-123.35410183999997</v>
      </c>
      <c r="F12" s="80">
        <f t="shared" si="3"/>
        <v>-138.27325342</v>
      </c>
      <c r="G12" s="80">
        <f t="shared" si="3"/>
        <v>-206.70191228000002</v>
      </c>
      <c r="H12" s="80">
        <f t="shared" si="3"/>
        <v>-152.96952295</v>
      </c>
      <c r="I12" s="94">
        <f t="shared" si="0"/>
        <v>-0.25995109932613347</v>
      </c>
      <c r="J12" s="95">
        <f t="shared" si="1"/>
        <v>-152.34098704799999</v>
      </c>
      <c r="K12" s="94">
        <f t="shared" si="2"/>
        <v>4.1258489535844767E-3</v>
      </c>
      <c r="L12" s="78" t="s">
        <v>61</v>
      </c>
      <c r="M12" s="97" t="s">
        <v>62</v>
      </c>
    </row>
    <row r="13" spans="1:13" x14ac:dyDescent="0.3">
      <c r="A13" s="13" t="s">
        <v>68</v>
      </c>
      <c r="B13" s="13"/>
      <c r="C13" s="13"/>
      <c r="D13" s="13"/>
      <c r="E13" s="13"/>
      <c r="F13" s="13"/>
      <c r="G13" s="13"/>
      <c r="H13" s="13"/>
      <c r="I13" s="13"/>
      <c r="J13" s="13"/>
      <c r="K13" s="13"/>
      <c r="L13" s="13"/>
      <c r="M13" s="13"/>
    </row>
    <row r="14" spans="1:13" x14ac:dyDescent="0.3">
      <c r="A14" s="13" t="s">
        <v>69</v>
      </c>
      <c r="B14" s="13"/>
      <c r="C14" s="13"/>
      <c r="D14" s="13"/>
      <c r="E14" s="13"/>
      <c r="F14" s="13"/>
      <c r="G14" s="13"/>
      <c r="H14" s="13"/>
      <c r="I14" s="13"/>
      <c r="J14" s="13"/>
      <c r="K14" s="13"/>
      <c r="L14" s="13"/>
      <c r="M14" s="13"/>
    </row>
    <row r="15" spans="1:13" x14ac:dyDescent="0.3">
      <c r="B15" s="13"/>
      <c r="C15" s="13"/>
      <c r="D15" s="13"/>
      <c r="E15" s="13"/>
      <c r="F15" s="13"/>
      <c r="G15" s="13"/>
      <c r="H15" s="13"/>
      <c r="I15" s="13"/>
      <c r="J15" s="13"/>
      <c r="K15" s="13"/>
      <c r="L15" s="13"/>
      <c r="M15" s="13"/>
    </row>
  </sheetData>
  <mergeCells count="1">
    <mergeCell ref="A7:A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EC34-E4E5-45ED-A9B3-7C5CF38DC863}">
  <dimension ref="A1:M14"/>
  <sheetViews>
    <sheetView workbookViewId="0"/>
  </sheetViews>
  <sheetFormatPr defaultRowHeight="14.4" x14ac:dyDescent="0.3"/>
  <cols>
    <col min="1" max="1" width="20.6640625" customWidth="1"/>
    <col min="2" max="2" width="12.88671875" bestFit="1" customWidth="1"/>
    <col min="3" max="3" width="9.33203125" bestFit="1" customWidth="1"/>
    <col min="12" max="12" width="24" bestFit="1" customWidth="1"/>
  </cols>
  <sheetData>
    <row r="1" spans="1:13" x14ac:dyDescent="0.3">
      <c r="A1" s="122" t="s">
        <v>23</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88"/>
      <c r="C3" s="97" t="s">
        <v>46</v>
      </c>
      <c r="D3" s="80">
        <v>771.1375458</v>
      </c>
      <c r="E3" s="80">
        <v>782.76175211999998</v>
      </c>
      <c r="F3" s="80">
        <v>784.82655599999998</v>
      </c>
      <c r="G3" s="80">
        <v>842.78658900000005</v>
      </c>
      <c r="H3" s="80">
        <v>855.27864871511008</v>
      </c>
      <c r="I3" s="81">
        <f t="shared" ref="I3:I12" si="0">IF(ISBLANK(H3),"N/A",IF(ISNA(H3/G3-1),"N/A",IF(ISERROR(H3/G3-1),"N/A",H3/G3-1)))</f>
        <v>1.4822328544563446E-2</v>
      </c>
      <c r="J3" s="82">
        <f t="shared" ref="J3:J12" si="1">IF(ISBLANK(H3),"",IF(ISNA(AVERAGE(D3:H3)),"N/A",IF(ISERROR(AVERAGE(D3:H3)),"N/A",AVERAGE(D3:H3))))</f>
        <v>807.35821832702209</v>
      </c>
      <c r="K3" s="81">
        <f t="shared" ref="K3:K12" si="2">IF(ISBLANK(H3),"",IF(ISNA(H3/AVERAGE(D3:H3)-1),"N/A",IF(ISERROR(H3/AVERAGE(D3:H3)-1),"N/A",H3/AVERAGE(D3:H3)-1)))</f>
        <v>5.9354607781644919E-2</v>
      </c>
      <c r="L3" s="83" t="s">
        <v>408</v>
      </c>
      <c r="M3" s="84" t="s">
        <v>47</v>
      </c>
    </row>
    <row r="4" spans="1:13" x14ac:dyDescent="0.3">
      <c r="A4" s="111" t="s">
        <v>184</v>
      </c>
      <c r="B4" s="88"/>
      <c r="C4" s="97" t="s">
        <v>163</v>
      </c>
      <c r="D4" s="86">
        <v>32.877467660000001</v>
      </c>
      <c r="E4" s="86">
        <v>39.370670390000001</v>
      </c>
      <c r="F4" s="86">
        <v>34.195003540000002</v>
      </c>
      <c r="G4" s="86">
        <v>31.329489329999998</v>
      </c>
      <c r="H4" s="87" t="s">
        <v>116</v>
      </c>
      <c r="I4" s="81" t="str">
        <f t="shared" si="0"/>
        <v>N/A</v>
      </c>
      <c r="J4" s="82">
        <f t="shared" si="1"/>
        <v>34.443157729999996</v>
      </c>
      <c r="K4" s="81" t="str">
        <f t="shared" si="2"/>
        <v>N/A</v>
      </c>
      <c r="L4" s="83" t="s">
        <v>410</v>
      </c>
      <c r="M4" s="84" t="s">
        <v>117</v>
      </c>
    </row>
    <row r="5" spans="1:13" x14ac:dyDescent="0.3">
      <c r="A5" s="111" t="s">
        <v>185</v>
      </c>
      <c r="B5" s="88"/>
      <c r="C5" s="99" t="s">
        <v>54</v>
      </c>
      <c r="D5" s="86">
        <v>397.721</v>
      </c>
      <c r="E5" s="86">
        <v>416.98200000000003</v>
      </c>
      <c r="F5" s="86">
        <v>462.01299999999998</v>
      </c>
      <c r="G5" s="86">
        <v>450.339</v>
      </c>
      <c r="H5" s="86">
        <v>456.375</v>
      </c>
      <c r="I5" s="81">
        <f t="shared" si="0"/>
        <v>1.340323622870776E-2</v>
      </c>
      <c r="J5" s="82">
        <f t="shared" si="1"/>
        <v>436.68599999999998</v>
      </c>
      <c r="K5" s="81">
        <f t="shared" si="2"/>
        <v>4.5087316744754968E-2</v>
      </c>
      <c r="L5" s="83" t="s">
        <v>148</v>
      </c>
      <c r="M5" s="84" t="s">
        <v>149</v>
      </c>
    </row>
    <row r="6" spans="1:13" x14ac:dyDescent="0.3">
      <c r="A6" s="111" t="s">
        <v>181</v>
      </c>
      <c r="B6" s="88"/>
      <c r="C6" s="97" t="s">
        <v>182</v>
      </c>
      <c r="D6" s="105">
        <v>215.49799999999999</v>
      </c>
      <c r="E6" s="105">
        <v>217.83799999999999</v>
      </c>
      <c r="F6" s="105">
        <v>217.006</v>
      </c>
      <c r="G6" s="105">
        <v>219.94900000000001</v>
      </c>
      <c r="H6" s="105">
        <v>220.25700000000001</v>
      </c>
      <c r="I6" s="81">
        <f t="shared" si="0"/>
        <v>1.4003246207074938E-3</v>
      </c>
      <c r="J6" s="82">
        <f t="shared" si="1"/>
        <v>218.1096</v>
      </c>
      <c r="K6" s="81">
        <f t="shared" si="2"/>
        <v>9.8455088634337162E-3</v>
      </c>
      <c r="L6" s="102" t="s">
        <v>409</v>
      </c>
      <c r="M6" s="84" t="s">
        <v>58</v>
      </c>
    </row>
    <row r="7" spans="1:13" x14ac:dyDescent="0.3">
      <c r="A7" s="154" t="s">
        <v>59</v>
      </c>
      <c r="B7" s="88" t="s">
        <v>60</v>
      </c>
      <c r="C7" s="97" t="s">
        <v>46</v>
      </c>
      <c r="D7" s="80">
        <v>21.813934</v>
      </c>
      <c r="E7" s="80">
        <v>22.908660999999999</v>
      </c>
      <c r="F7" s="80">
        <v>22.124732000000002</v>
      </c>
      <c r="G7" s="80">
        <v>24.215153999999998</v>
      </c>
      <c r="H7" s="80">
        <v>12.322464</v>
      </c>
      <c r="I7" s="81">
        <f t="shared" si="0"/>
        <v>-0.49112592882952544</v>
      </c>
      <c r="J7" s="82">
        <f t="shared" si="1"/>
        <v>20.676988999999999</v>
      </c>
      <c r="K7" s="81">
        <f t="shared" si="2"/>
        <v>-0.40404940003595302</v>
      </c>
      <c r="L7" s="83" t="s">
        <v>61</v>
      </c>
      <c r="M7" s="84" t="s">
        <v>62</v>
      </c>
    </row>
    <row r="8" spans="1:13" x14ac:dyDescent="0.3">
      <c r="A8" s="154"/>
      <c r="B8" s="89" t="s">
        <v>183</v>
      </c>
      <c r="C8" s="97" t="s">
        <v>46</v>
      </c>
      <c r="D8" s="80">
        <v>0.14288699999999999</v>
      </c>
      <c r="E8" s="80">
        <v>0.105667</v>
      </c>
      <c r="F8" s="80">
        <v>0.28379799999999999</v>
      </c>
      <c r="G8" s="80">
        <v>7.7887370000000002</v>
      </c>
      <c r="H8" s="80">
        <v>2.0815540000000001</v>
      </c>
      <c r="I8" s="81">
        <f t="shared" si="0"/>
        <v>-0.73274819781435685</v>
      </c>
      <c r="J8" s="82">
        <f t="shared" si="1"/>
        <v>2.0805286000000001</v>
      </c>
      <c r="K8" s="81">
        <f t="shared" si="2"/>
        <v>4.9285551758337931E-4</v>
      </c>
      <c r="L8" s="83" t="s">
        <v>61</v>
      </c>
      <c r="M8" s="84" t="s">
        <v>62</v>
      </c>
    </row>
    <row r="9" spans="1:13" x14ac:dyDescent="0.3">
      <c r="A9" s="154"/>
      <c r="B9" s="89" t="s">
        <v>110</v>
      </c>
      <c r="C9" s="97" t="s">
        <v>46</v>
      </c>
      <c r="D9" s="80">
        <v>3.1266289999999999</v>
      </c>
      <c r="E9" s="80">
        <v>1.4674339999999999</v>
      </c>
      <c r="F9" s="80">
        <v>3.2997010000000002</v>
      </c>
      <c r="G9" s="80">
        <v>3.084015</v>
      </c>
      <c r="H9" s="80">
        <v>1.6473180000000001</v>
      </c>
      <c r="I9" s="81">
        <f t="shared" si="0"/>
        <v>-0.46585279254478329</v>
      </c>
      <c r="J9" s="82">
        <f t="shared" si="1"/>
        <v>2.5250194000000006</v>
      </c>
      <c r="K9" s="81">
        <f t="shared" si="2"/>
        <v>-0.34760184416800932</v>
      </c>
      <c r="L9" s="83" t="s">
        <v>61</v>
      </c>
      <c r="M9" s="84" t="s">
        <v>62</v>
      </c>
    </row>
    <row r="10" spans="1:13" x14ac:dyDescent="0.3">
      <c r="A10" s="154"/>
      <c r="B10" s="89" t="s">
        <v>186</v>
      </c>
      <c r="C10" s="97" t="s">
        <v>46</v>
      </c>
      <c r="D10" s="80">
        <v>3.6707860000000001</v>
      </c>
      <c r="E10" s="80">
        <v>3.0736189999999999</v>
      </c>
      <c r="F10" s="80">
        <v>2.4171079999999998</v>
      </c>
      <c r="G10" s="80">
        <v>1.258197</v>
      </c>
      <c r="H10" s="80">
        <v>1.15402</v>
      </c>
      <c r="I10" s="81">
        <f t="shared" si="0"/>
        <v>-8.2798639640692118E-2</v>
      </c>
      <c r="J10" s="82">
        <f t="shared" si="1"/>
        <v>2.3147459999999995</v>
      </c>
      <c r="K10" s="81">
        <f t="shared" si="2"/>
        <v>-0.50144853906216913</v>
      </c>
      <c r="L10" s="83" t="s">
        <v>61</v>
      </c>
      <c r="M10" s="84" t="s">
        <v>62</v>
      </c>
    </row>
    <row r="11" spans="1:13" x14ac:dyDescent="0.3">
      <c r="A11" s="111" t="s">
        <v>66</v>
      </c>
      <c r="B11" s="88" t="s">
        <v>60</v>
      </c>
      <c r="C11" s="97" t="s">
        <v>46</v>
      </c>
      <c r="D11" s="80">
        <v>0</v>
      </c>
      <c r="E11" s="80">
        <v>2.2699618499999996</v>
      </c>
      <c r="F11" s="80">
        <v>3.3349244699999998</v>
      </c>
      <c r="G11" s="80">
        <v>1.02451549</v>
      </c>
      <c r="H11" s="80">
        <v>2.5200000000000001E-3</v>
      </c>
      <c r="I11" s="81">
        <f t="shared" si="0"/>
        <v>-0.99754030073278832</v>
      </c>
      <c r="J11" s="82">
        <f t="shared" si="1"/>
        <v>1.3263843619999998</v>
      </c>
      <c r="K11" s="81">
        <f t="shared" si="2"/>
        <v>-0.99810009822778656</v>
      </c>
      <c r="L11" s="83" t="s">
        <v>61</v>
      </c>
      <c r="M11" s="84" t="s">
        <v>62</v>
      </c>
    </row>
    <row r="12" spans="1:13" x14ac:dyDescent="0.3">
      <c r="A12" s="111" t="s">
        <v>67</v>
      </c>
      <c r="B12" s="88" t="s">
        <v>60</v>
      </c>
      <c r="C12" s="97" t="s">
        <v>46</v>
      </c>
      <c r="D12" s="80">
        <f>+D7-D11</f>
        <v>21.813934</v>
      </c>
      <c r="E12" s="80">
        <f t="shared" ref="E12:H12" si="3">+E7-E11</f>
        <v>20.638699150000001</v>
      </c>
      <c r="F12" s="80">
        <f t="shared" si="3"/>
        <v>18.789807530000001</v>
      </c>
      <c r="G12" s="80">
        <f t="shared" si="3"/>
        <v>23.190638509999999</v>
      </c>
      <c r="H12" s="80">
        <f t="shared" si="3"/>
        <v>12.319944</v>
      </c>
      <c r="I12" s="81">
        <f t="shared" si="0"/>
        <v>-0.46875356645796817</v>
      </c>
      <c r="J12" s="82">
        <f t="shared" si="1"/>
        <v>19.350604638</v>
      </c>
      <c r="K12" s="81">
        <f t="shared" si="2"/>
        <v>-0.36333028189689998</v>
      </c>
      <c r="L12" s="83" t="s">
        <v>61</v>
      </c>
      <c r="M12" s="84" t="s">
        <v>62</v>
      </c>
    </row>
    <row r="13" spans="1:13" x14ac:dyDescent="0.3">
      <c r="A13" s="13" t="s">
        <v>68</v>
      </c>
    </row>
    <row r="14" spans="1:13" x14ac:dyDescent="0.3">
      <c r="A14" s="13" t="s">
        <v>69</v>
      </c>
    </row>
  </sheetData>
  <mergeCells count="1">
    <mergeCell ref="A7:A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CABA-9474-4BEB-A323-386F82928ECB}">
  <dimension ref="A1:M17"/>
  <sheetViews>
    <sheetView workbookViewId="0"/>
  </sheetViews>
  <sheetFormatPr defaultRowHeight="14.4" x14ac:dyDescent="0.3"/>
  <cols>
    <col min="1" max="1" width="32.88671875" bestFit="1" customWidth="1"/>
    <col min="4" max="4" width="14.5546875" bestFit="1" customWidth="1"/>
    <col min="12" max="12" width="27" bestFit="1" customWidth="1"/>
  </cols>
  <sheetData>
    <row r="1" spans="1:13" x14ac:dyDescent="0.3">
      <c r="A1" s="122" t="s">
        <v>24</v>
      </c>
      <c r="B1" s="122"/>
      <c r="C1" s="122"/>
      <c r="D1" s="122"/>
      <c r="E1" s="122"/>
      <c r="F1" s="122"/>
      <c r="G1" s="122"/>
      <c r="H1" s="122"/>
      <c r="I1" s="122"/>
      <c r="J1" s="122"/>
      <c r="K1" s="122"/>
      <c r="L1" s="122"/>
      <c r="M1" s="122"/>
    </row>
    <row r="2" spans="1:13" x14ac:dyDescent="0.3">
      <c r="A2" s="123" t="s">
        <v>36</v>
      </c>
      <c r="B2" s="119" t="s">
        <v>37</v>
      </c>
      <c r="C2" s="124"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79" t="s">
        <v>46</v>
      </c>
      <c r="D3" s="80">
        <v>1094.983751</v>
      </c>
      <c r="E3" s="80">
        <v>1306.2432659999999</v>
      </c>
      <c r="F3" s="80">
        <v>1168.2357629000001</v>
      </c>
      <c r="G3" s="80">
        <v>773.91666294000004</v>
      </c>
      <c r="H3" s="80">
        <v>744.9989045541696</v>
      </c>
      <c r="I3" s="81">
        <f t="shared" ref="I3:I14" si="0">IF(ISBLANK(H3),"N/A",IF(ISNA(H3/G3-1),"N/A",IF(ISERROR(H3/G3-1),"N/A",H3/G3-1)))</f>
        <v>-3.7365468106056787E-2</v>
      </c>
      <c r="J3" s="95">
        <f t="shared" ref="J3:J14" si="1">IF(ISBLANK(H3),"",IF(ISNA(AVERAGE(D3:H3)),"N/A",IF(ISERROR(AVERAGE(D3:H3)),"N/A",AVERAGE(D3:H3))))</f>
        <v>1017.6756694788339</v>
      </c>
      <c r="K3" s="94">
        <f t="shared" ref="K3:K14" si="2">IF(ISBLANK(H3),"",IF(ISNA(H3/AVERAGE(D3:H3)-1),"N/A",IF(ISERROR(H3/AVERAGE(D3:H3)-1),"N/A",H3/AVERAGE(D3:H3)-1)))</f>
        <v>-0.26794073308670718</v>
      </c>
      <c r="L3" s="78" t="s">
        <v>408</v>
      </c>
      <c r="M3" s="97" t="s">
        <v>47</v>
      </c>
    </row>
    <row r="4" spans="1:13" x14ac:dyDescent="0.3">
      <c r="A4" s="77" t="s">
        <v>162</v>
      </c>
      <c r="B4" s="78"/>
      <c r="C4" s="79" t="s">
        <v>163</v>
      </c>
      <c r="D4" s="87">
        <v>26.928532090000001</v>
      </c>
      <c r="E4" s="87">
        <v>25.222087399999999</v>
      </c>
      <c r="F4" s="107">
        <v>22.36641625</v>
      </c>
      <c r="G4" s="87">
        <v>20.371834920000001</v>
      </c>
      <c r="H4" s="87" t="s">
        <v>116</v>
      </c>
      <c r="I4" s="81" t="str">
        <f t="shared" si="0"/>
        <v>N/A</v>
      </c>
      <c r="J4" s="95">
        <f t="shared" si="1"/>
        <v>23.722217664999999</v>
      </c>
      <c r="K4" s="94" t="str">
        <f t="shared" si="2"/>
        <v>N/A</v>
      </c>
      <c r="L4" s="78" t="s">
        <v>410</v>
      </c>
      <c r="M4" s="97" t="s">
        <v>117</v>
      </c>
    </row>
    <row r="5" spans="1:13" x14ac:dyDescent="0.3">
      <c r="A5" s="77" t="s">
        <v>187</v>
      </c>
      <c r="B5" s="78"/>
      <c r="C5" s="79" t="s">
        <v>163</v>
      </c>
      <c r="D5" s="108">
        <v>10.01958374</v>
      </c>
      <c r="E5" s="109">
        <v>9.8724136500000004</v>
      </c>
      <c r="F5" s="109">
        <v>9.4367654900000009</v>
      </c>
      <c r="G5" s="87" t="s">
        <v>116</v>
      </c>
      <c r="H5" s="87" t="s">
        <v>116</v>
      </c>
      <c r="I5" s="81" t="str">
        <f t="shared" si="0"/>
        <v>N/A</v>
      </c>
      <c r="J5" s="95">
        <f t="shared" si="1"/>
        <v>9.7762542933333325</v>
      </c>
      <c r="K5" s="94" t="str">
        <f t="shared" si="2"/>
        <v>N/A</v>
      </c>
      <c r="L5" s="78" t="s">
        <v>410</v>
      </c>
      <c r="M5" s="97" t="s">
        <v>117</v>
      </c>
    </row>
    <row r="6" spans="1:13" x14ac:dyDescent="0.3">
      <c r="A6" s="77" t="s">
        <v>165</v>
      </c>
      <c r="B6" s="78"/>
      <c r="C6" s="79" t="s">
        <v>163</v>
      </c>
      <c r="D6" s="108">
        <v>15.432419919999999</v>
      </c>
      <c r="E6" s="109">
        <v>14.94027011</v>
      </c>
      <c r="F6" s="109">
        <v>13.683911550000001</v>
      </c>
      <c r="G6" s="87">
        <v>12.165429919999999</v>
      </c>
      <c r="H6" s="87" t="s">
        <v>116</v>
      </c>
      <c r="I6" s="81" t="str">
        <f t="shared" si="0"/>
        <v>N/A</v>
      </c>
      <c r="J6" s="95">
        <f t="shared" si="1"/>
        <v>14.055507875000002</v>
      </c>
      <c r="K6" s="94" t="str">
        <f t="shared" si="2"/>
        <v>N/A</v>
      </c>
      <c r="L6" s="78" t="s">
        <v>410</v>
      </c>
      <c r="M6" s="97" t="s">
        <v>117</v>
      </c>
    </row>
    <row r="7" spans="1:13" x14ac:dyDescent="0.3">
      <c r="A7" s="77" t="s">
        <v>53</v>
      </c>
      <c r="B7" s="78"/>
      <c r="C7" s="85" t="s">
        <v>54</v>
      </c>
      <c r="D7" s="83">
        <v>118.956</v>
      </c>
      <c r="E7" s="83">
        <v>117.504</v>
      </c>
      <c r="F7" s="83">
        <v>98.481999999999999</v>
      </c>
      <c r="G7" s="83">
        <v>83.762</v>
      </c>
      <c r="H7" s="83">
        <v>98.31</v>
      </c>
      <c r="I7" s="81">
        <f t="shared" si="0"/>
        <v>0.17368257682481314</v>
      </c>
      <c r="J7" s="95">
        <f t="shared" si="1"/>
        <v>103.4028</v>
      </c>
      <c r="K7" s="94">
        <f t="shared" si="2"/>
        <v>-4.925205120170828E-2</v>
      </c>
      <c r="L7" s="78" t="s">
        <v>148</v>
      </c>
      <c r="M7" s="97" t="s">
        <v>149</v>
      </c>
    </row>
    <row r="8" spans="1:13" x14ac:dyDescent="0.3">
      <c r="A8" s="77" t="s">
        <v>188</v>
      </c>
      <c r="B8" s="78"/>
      <c r="C8" s="79" t="s">
        <v>189</v>
      </c>
      <c r="D8" s="87">
        <v>1405.913</v>
      </c>
      <c r="E8" s="87">
        <v>1732</v>
      </c>
      <c r="F8" s="87">
        <v>1939.133</v>
      </c>
      <c r="G8" s="87">
        <v>1447.6</v>
      </c>
      <c r="H8" s="87">
        <v>1192.8333333333335</v>
      </c>
      <c r="I8" s="81">
        <f t="shared" si="0"/>
        <v>-0.17599244726904284</v>
      </c>
      <c r="J8" s="95">
        <f t="shared" si="1"/>
        <v>1543.4958666666669</v>
      </c>
      <c r="K8" s="94">
        <f t="shared" si="2"/>
        <v>-0.22718721890109372</v>
      </c>
      <c r="L8" s="106" t="s">
        <v>413</v>
      </c>
      <c r="M8" s="97" t="s">
        <v>190</v>
      </c>
    </row>
    <row r="9" spans="1:13" x14ac:dyDescent="0.3">
      <c r="A9" s="158" t="s">
        <v>59</v>
      </c>
      <c r="B9" s="88" t="s">
        <v>60</v>
      </c>
      <c r="C9" s="79" t="s">
        <v>46</v>
      </c>
      <c r="D9" s="110">
        <v>673.06748300000004</v>
      </c>
      <c r="E9" s="110">
        <v>870.84544500000004</v>
      </c>
      <c r="F9" s="110">
        <v>807.47414600000002</v>
      </c>
      <c r="G9" s="110">
        <v>527.49161400000003</v>
      </c>
      <c r="H9" s="110">
        <v>466.003916</v>
      </c>
      <c r="I9" s="81">
        <f t="shared" si="0"/>
        <v>-0.1165662095246125</v>
      </c>
      <c r="J9" s="95">
        <f t="shared" si="1"/>
        <v>668.97652080000012</v>
      </c>
      <c r="K9" s="94">
        <f t="shared" si="2"/>
        <v>-0.30340766602282832</v>
      </c>
      <c r="L9" s="78" t="s">
        <v>61</v>
      </c>
      <c r="M9" s="97" t="s">
        <v>62</v>
      </c>
    </row>
    <row r="10" spans="1:13" x14ac:dyDescent="0.3">
      <c r="A10" s="158"/>
      <c r="B10" s="89" t="s">
        <v>65</v>
      </c>
      <c r="C10" s="79" t="s">
        <v>46</v>
      </c>
      <c r="D10" s="110">
        <v>532.06757000000005</v>
      </c>
      <c r="E10" s="110">
        <v>719.50719200000003</v>
      </c>
      <c r="F10" s="110">
        <v>684.67072399999995</v>
      </c>
      <c r="G10" s="110">
        <v>435.440831</v>
      </c>
      <c r="H10" s="110">
        <v>421.05429800000002</v>
      </c>
      <c r="I10" s="81">
        <f t="shared" si="0"/>
        <v>-3.3039007772791895E-2</v>
      </c>
      <c r="J10" s="95">
        <f t="shared" si="1"/>
        <v>558.54812300000003</v>
      </c>
      <c r="K10" s="94">
        <f t="shared" si="2"/>
        <v>-0.24616289866218033</v>
      </c>
      <c r="L10" s="78" t="s">
        <v>61</v>
      </c>
      <c r="M10" s="97" t="s">
        <v>62</v>
      </c>
    </row>
    <row r="11" spans="1:13" x14ac:dyDescent="0.3">
      <c r="A11" s="158"/>
      <c r="B11" s="89" t="s">
        <v>191</v>
      </c>
      <c r="C11" s="79" t="s">
        <v>46</v>
      </c>
      <c r="D11" s="110">
        <v>31.031779</v>
      </c>
      <c r="E11" s="110">
        <v>43.616841999999998</v>
      </c>
      <c r="F11" s="110">
        <v>30.909317000000001</v>
      </c>
      <c r="G11" s="110">
        <v>19.661639000000001</v>
      </c>
      <c r="H11" s="110">
        <v>18.076395000000002</v>
      </c>
      <c r="I11" s="81">
        <f t="shared" si="0"/>
        <v>-8.0626238738286227E-2</v>
      </c>
      <c r="J11" s="95">
        <f t="shared" si="1"/>
        <v>28.659194399999997</v>
      </c>
      <c r="K11" s="94">
        <f t="shared" si="2"/>
        <v>-0.3692636733710839</v>
      </c>
      <c r="L11" s="78" t="s">
        <v>61</v>
      </c>
      <c r="M11" s="97" t="s">
        <v>62</v>
      </c>
    </row>
    <row r="12" spans="1:13" x14ac:dyDescent="0.3">
      <c r="A12" s="158"/>
      <c r="B12" s="89" t="s">
        <v>192</v>
      </c>
      <c r="C12" s="79" t="s">
        <v>46</v>
      </c>
      <c r="D12" s="110">
        <v>80.188967000000005</v>
      </c>
      <c r="E12" s="110">
        <v>65.215986000000001</v>
      </c>
      <c r="F12" s="110">
        <v>45.271394999999998</v>
      </c>
      <c r="G12" s="110">
        <v>43.664095000000003</v>
      </c>
      <c r="H12" s="110">
        <v>11.937002</v>
      </c>
      <c r="I12" s="81">
        <f t="shared" si="0"/>
        <v>-0.72661744163024566</v>
      </c>
      <c r="J12" s="95">
        <f t="shared" si="1"/>
        <v>49.255489000000004</v>
      </c>
      <c r="K12" s="94">
        <f t="shared" si="2"/>
        <v>-0.75765133506237248</v>
      </c>
      <c r="L12" s="78" t="s">
        <v>61</v>
      </c>
      <c r="M12" s="97" t="s">
        <v>62</v>
      </c>
    </row>
    <row r="13" spans="1:13" x14ac:dyDescent="0.3">
      <c r="A13" s="77" t="s">
        <v>66</v>
      </c>
      <c r="B13" s="88" t="s">
        <v>60</v>
      </c>
      <c r="C13" s="79" t="s">
        <v>46</v>
      </c>
      <c r="D13" s="80">
        <v>0.11664720999999999</v>
      </c>
      <c r="E13" s="80">
        <v>4.8207350000000003E-2</v>
      </c>
      <c r="F13" s="80">
        <v>5.603172E-2</v>
      </c>
      <c r="G13" s="80">
        <v>4.6595249999999998E-2</v>
      </c>
      <c r="H13" s="80">
        <v>3.9309169999999997E-2</v>
      </c>
      <c r="I13" s="81">
        <f t="shared" si="0"/>
        <v>-0.15636958702872072</v>
      </c>
      <c r="J13" s="95">
        <f t="shared" si="1"/>
        <v>6.1358139999999992E-2</v>
      </c>
      <c r="K13" s="94">
        <f t="shared" si="2"/>
        <v>-0.35934873514744736</v>
      </c>
      <c r="L13" s="78" t="s">
        <v>61</v>
      </c>
      <c r="M13" s="97" t="s">
        <v>62</v>
      </c>
    </row>
    <row r="14" spans="1:13" x14ac:dyDescent="0.3">
      <c r="A14" s="90" t="s">
        <v>67</v>
      </c>
      <c r="B14" s="91" t="s">
        <v>60</v>
      </c>
      <c r="C14" s="92" t="s">
        <v>46</v>
      </c>
      <c r="D14" s="80">
        <f>+D9-D13</f>
        <v>672.95083579000004</v>
      </c>
      <c r="E14" s="80">
        <f t="shared" ref="E14:H14" si="3">+E9-E13</f>
        <v>870.79723765000006</v>
      </c>
      <c r="F14" s="80">
        <f t="shared" si="3"/>
        <v>807.41811428000005</v>
      </c>
      <c r="G14" s="80">
        <f t="shared" si="3"/>
        <v>527.44501875000003</v>
      </c>
      <c r="H14" s="80">
        <f t="shared" si="3"/>
        <v>465.96460682999998</v>
      </c>
      <c r="I14" s="81">
        <f t="shared" si="0"/>
        <v>-0.11656269323711388</v>
      </c>
      <c r="J14" s="95">
        <f t="shared" si="1"/>
        <v>668.91516266000008</v>
      </c>
      <c r="K14" s="94">
        <f t="shared" si="2"/>
        <v>-0.30340253466964229</v>
      </c>
      <c r="L14" s="78" t="s">
        <v>61</v>
      </c>
      <c r="M14" s="97" t="s">
        <v>62</v>
      </c>
    </row>
    <row r="15" spans="1:13" x14ac:dyDescent="0.3">
      <c r="A15" s="13" t="s">
        <v>68</v>
      </c>
    </row>
    <row r="16" spans="1:13" x14ac:dyDescent="0.3">
      <c r="A16" s="13" t="s">
        <v>69</v>
      </c>
    </row>
    <row r="17" spans="1:1" x14ac:dyDescent="0.3">
      <c r="A17" s="13"/>
    </row>
  </sheetData>
  <mergeCells count="1">
    <mergeCell ref="A9:A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5840-63D3-4337-8C95-C64D2B257927}">
  <dimension ref="A1:M16"/>
  <sheetViews>
    <sheetView workbookViewId="0"/>
  </sheetViews>
  <sheetFormatPr defaultRowHeight="14.4" x14ac:dyDescent="0.3"/>
  <cols>
    <col min="1" max="1" width="28.6640625" bestFit="1" customWidth="1"/>
    <col min="2" max="2" width="10.5546875" bestFit="1" customWidth="1"/>
    <col min="3" max="3" width="12.109375" bestFit="1" customWidth="1"/>
    <col min="7" max="7" width="10.88671875" bestFit="1" customWidth="1"/>
    <col min="12" max="12" width="24" bestFit="1" customWidth="1"/>
  </cols>
  <sheetData>
    <row r="1" spans="1:13" x14ac:dyDescent="0.3">
      <c r="A1" s="122" t="s">
        <v>25</v>
      </c>
      <c r="B1" s="122"/>
      <c r="C1" s="122"/>
      <c r="D1" s="122"/>
      <c r="E1" s="122"/>
      <c r="F1" s="122"/>
      <c r="G1" s="122"/>
      <c r="H1" s="122"/>
      <c r="I1" s="122"/>
      <c r="J1" s="122"/>
      <c r="K1" s="122"/>
      <c r="L1" s="122"/>
      <c r="M1" s="122"/>
    </row>
    <row r="2" spans="1:13" x14ac:dyDescent="0.3">
      <c r="A2" s="123" t="s">
        <v>36</v>
      </c>
      <c r="B2" s="119" t="s">
        <v>37</v>
      </c>
      <c r="C2" s="124"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79" t="s">
        <v>46</v>
      </c>
      <c r="D3" s="80">
        <v>255.51483049999999</v>
      </c>
      <c r="E3" s="80">
        <v>263.09533299000003</v>
      </c>
      <c r="F3" s="80">
        <v>238.80816077</v>
      </c>
      <c r="G3" s="80">
        <v>258.97607625000001</v>
      </c>
      <c r="H3" s="80">
        <v>267.61878415671498</v>
      </c>
      <c r="I3" s="81">
        <f t="shared" ref="I3:I14" si="0">IF(ISBLANK(H3),"N/A",IF(ISNA(H3/G3-1),"N/A",IF(ISERROR(H3/G3-1),"N/A",H3/G3-1)))</f>
        <v>3.3372611215144898E-2</v>
      </c>
      <c r="J3" s="82">
        <f t="shared" ref="J3:J14" si="1">IF(ISBLANK(H3),"",IF(ISNA(AVERAGE(D3:H3)),"N/A",IF(ISERROR(AVERAGE(D3:H3)),"N/A",AVERAGE(D3:H3))))</f>
        <v>256.80263693334302</v>
      </c>
      <c r="K3" s="94">
        <f t="shared" ref="K3:K14" si="2">IF(ISBLANK(H3),"",IF(ISNA(H3/AVERAGE(D3:H3)-1),"N/A",IF(ISERROR(H3/AVERAGE(D3:H3)-1),"N/A",H3/AVERAGE(D3:H3)-1)))</f>
        <v>4.2118520870871867E-2</v>
      </c>
      <c r="L3" s="78" t="s">
        <v>408</v>
      </c>
      <c r="M3" s="97" t="s">
        <v>47</v>
      </c>
    </row>
    <row r="4" spans="1:13" x14ac:dyDescent="0.3">
      <c r="A4" s="77" t="s">
        <v>193</v>
      </c>
      <c r="B4" s="78"/>
      <c r="C4" s="79" t="s">
        <v>163</v>
      </c>
      <c r="D4" s="86">
        <v>4.9843944900000006</v>
      </c>
      <c r="E4" s="86">
        <v>6.6055079000000001</v>
      </c>
      <c r="F4" s="86">
        <v>5.6959493599999993</v>
      </c>
      <c r="G4" s="86">
        <v>4.7878188899999996</v>
      </c>
      <c r="H4" s="83" t="s">
        <v>116</v>
      </c>
      <c r="I4" s="81" t="str">
        <f t="shared" si="0"/>
        <v>N/A</v>
      </c>
      <c r="J4" s="82">
        <f t="shared" si="1"/>
        <v>5.5184176599999999</v>
      </c>
      <c r="K4" s="94" t="str">
        <f t="shared" si="2"/>
        <v>N/A</v>
      </c>
      <c r="L4" s="78" t="s">
        <v>410</v>
      </c>
      <c r="M4" s="97" t="s">
        <v>117</v>
      </c>
    </row>
    <row r="5" spans="1:13" x14ac:dyDescent="0.3">
      <c r="A5" s="77" t="s">
        <v>194</v>
      </c>
      <c r="B5" s="78"/>
      <c r="C5" s="85" t="s">
        <v>195</v>
      </c>
      <c r="D5" s="86">
        <v>103.80514806999999</v>
      </c>
      <c r="E5" s="86">
        <v>117.55601026000001</v>
      </c>
      <c r="F5" s="86">
        <v>105.49648742000001</v>
      </c>
      <c r="G5" s="86">
        <v>109.85436179999999</v>
      </c>
      <c r="H5" s="83" t="s">
        <v>116</v>
      </c>
      <c r="I5" s="81" t="str">
        <f t="shared" si="0"/>
        <v>N/A</v>
      </c>
      <c r="J5" s="82">
        <f t="shared" si="1"/>
        <v>109.1780018875</v>
      </c>
      <c r="K5" s="94" t="str">
        <f t="shared" si="2"/>
        <v>N/A</v>
      </c>
      <c r="L5" s="78" t="s">
        <v>410</v>
      </c>
      <c r="M5" s="97" t="s">
        <v>117</v>
      </c>
    </row>
    <row r="6" spans="1:13" x14ac:dyDescent="0.3">
      <c r="A6" s="77" t="s">
        <v>196</v>
      </c>
      <c r="B6" s="78"/>
      <c r="C6" s="85" t="s">
        <v>146</v>
      </c>
      <c r="D6" s="104">
        <v>0.30188223357951488</v>
      </c>
      <c r="E6" s="104">
        <v>0.32688720514423908</v>
      </c>
      <c r="F6" s="104">
        <v>0.29725850338260401</v>
      </c>
      <c r="G6" s="104">
        <v>0.30594170242361091</v>
      </c>
      <c r="H6" s="83" t="s">
        <v>116</v>
      </c>
      <c r="I6" s="81" t="str">
        <f t="shared" si="0"/>
        <v>N/A</v>
      </c>
      <c r="J6" s="82">
        <f t="shared" si="1"/>
        <v>0.30799241113249221</v>
      </c>
      <c r="K6" s="94" t="str">
        <f t="shared" si="2"/>
        <v>N/A</v>
      </c>
      <c r="L6" s="78" t="s">
        <v>410</v>
      </c>
      <c r="M6" s="97" t="s">
        <v>117</v>
      </c>
    </row>
    <row r="7" spans="1:13" x14ac:dyDescent="0.3">
      <c r="A7" s="77" t="s">
        <v>197</v>
      </c>
      <c r="B7" s="78"/>
      <c r="C7" s="79" t="s">
        <v>198</v>
      </c>
      <c r="D7" s="105">
        <v>238.352</v>
      </c>
      <c r="E7" s="105">
        <v>230.30500000000001</v>
      </c>
      <c r="F7" s="105">
        <v>234.68600000000001</v>
      </c>
      <c r="G7" s="105">
        <v>241.06200000000001</v>
      </c>
      <c r="H7" s="105">
        <v>241.96299999999999</v>
      </c>
      <c r="I7" s="81">
        <f t="shared" si="0"/>
        <v>3.7376276642522299E-3</v>
      </c>
      <c r="J7" s="82">
        <f t="shared" si="1"/>
        <v>237.27360000000004</v>
      </c>
      <c r="K7" s="94">
        <f t="shared" si="2"/>
        <v>1.9763682095268686E-2</v>
      </c>
      <c r="L7" s="106" t="s">
        <v>409</v>
      </c>
      <c r="M7" s="97" t="s">
        <v>58</v>
      </c>
    </row>
    <row r="8" spans="1:13" x14ac:dyDescent="0.3">
      <c r="A8" s="77" t="s">
        <v>199</v>
      </c>
      <c r="B8" s="78"/>
      <c r="C8" s="79" t="s">
        <v>125</v>
      </c>
      <c r="D8" s="87">
        <v>109.17500000000001</v>
      </c>
      <c r="E8" s="87">
        <v>105.825</v>
      </c>
      <c r="F8" s="87">
        <v>106.7</v>
      </c>
      <c r="G8" s="87">
        <v>112.425</v>
      </c>
      <c r="H8" s="87">
        <v>113.52500000000001</v>
      </c>
      <c r="I8" s="81">
        <f t="shared" si="0"/>
        <v>9.7843006448743441E-3</v>
      </c>
      <c r="J8" s="82">
        <f t="shared" si="1"/>
        <v>109.53</v>
      </c>
      <c r="K8" s="94">
        <f t="shared" si="2"/>
        <v>3.6474025381174169E-2</v>
      </c>
      <c r="L8" s="78" t="s">
        <v>411</v>
      </c>
      <c r="M8" s="97" t="s">
        <v>126</v>
      </c>
    </row>
    <row r="9" spans="1:13" x14ac:dyDescent="0.3">
      <c r="A9" s="158" t="s">
        <v>59</v>
      </c>
      <c r="B9" s="88" t="s">
        <v>60</v>
      </c>
      <c r="C9" s="79" t="s">
        <v>46</v>
      </c>
      <c r="D9" s="80">
        <v>3.8432759999999999</v>
      </c>
      <c r="E9" s="80">
        <v>12.240022</v>
      </c>
      <c r="F9" s="80">
        <v>7.8934610000000003</v>
      </c>
      <c r="G9" s="80">
        <v>1.473776</v>
      </c>
      <c r="H9" s="80">
        <v>0.89936799999999995</v>
      </c>
      <c r="I9" s="81">
        <f t="shared" si="0"/>
        <v>-0.38975258112494715</v>
      </c>
      <c r="J9" s="82">
        <f t="shared" si="1"/>
        <v>5.2699806000000002</v>
      </c>
      <c r="K9" s="94">
        <f t="shared" si="2"/>
        <v>-0.82934130725263011</v>
      </c>
      <c r="L9" s="78" t="s">
        <v>61</v>
      </c>
      <c r="M9" s="97" t="s">
        <v>62</v>
      </c>
    </row>
    <row r="10" spans="1:13" x14ac:dyDescent="0.3">
      <c r="A10" s="158"/>
      <c r="B10" s="88" t="s">
        <v>183</v>
      </c>
      <c r="C10" s="79" t="s">
        <v>46</v>
      </c>
      <c r="D10" s="80">
        <v>2.2401000000000001E-2</v>
      </c>
      <c r="E10" s="80">
        <v>0.46512900000000001</v>
      </c>
      <c r="F10" s="80">
        <v>0.56649300000000002</v>
      </c>
      <c r="G10" s="80">
        <v>0.64385899999999996</v>
      </c>
      <c r="H10" s="80">
        <v>0.45018399999999997</v>
      </c>
      <c r="I10" s="81">
        <f t="shared" si="0"/>
        <v>-0.30080343677730681</v>
      </c>
      <c r="J10" s="82">
        <f t="shared" si="1"/>
        <v>0.42961320000000003</v>
      </c>
      <c r="K10" s="94">
        <f t="shared" si="2"/>
        <v>4.7882141423959856E-2</v>
      </c>
      <c r="L10" s="78" t="s">
        <v>61</v>
      </c>
      <c r="M10" s="97" t="s">
        <v>62</v>
      </c>
    </row>
    <row r="11" spans="1:13" x14ac:dyDescent="0.3">
      <c r="A11" s="158"/>
      <c r="B11" s="88" t="s">
        <v>128</v>
      </c>
      <c r="C11" s="79" t="s">
        <v>46</v>
      </c>
      <c r="D11" s="80">
        <v>0.81409600000000004</v>
      </c>
      <c r="E11" s="80">
        <v>0.14693000000000001</v>
      </c>
      <c r="F11" s="80">
        <v>0.102365</v>
      </c>
      <c r="G11" s="80">
        <v>6.6668000000000005E-2</v>
      </c>
      <c r="H11" s="80">
        <v>0.11937300000000001</v>
      </c>
      <c r="I11" s="81">
        <f t="shared" si="0"/>
        <v>0.79055918881622356</v>
      </c>
      <c r="J11" s="82">
        <f t="shared" si="1"/>
        <v>0.24988639999999998</v>
      </c>
      <c r="K11" s="94">
        <f t="shared" si="2"/>
        <v>-0.52229092899813667</v>
      </c>
      <c r="L11" s="78" t="s">
        <v>61</v>
      </c>
      <c r="M11" s="97" t="s">
        <v>62</v>
      </c>
    </row>
    <row r="12" spans="1:13" x14ac:dyDescent="0.3">
      <c r="A12" s="158"/>
      <c r="B12" s="88" t="s">
        <v>110</v>
      </c>
      <c r="C12" s="79" t="s">
        <v>46</v>
      </c>
      <c r="D12" s="80">
        <v>1.5422400000000001</v>
      </c>
      <c r="E12" s="80">
        <v>11.042329000000001</v>
      </c>
      <c r="F12" s="80">
        <v>5.8645069999999997</v>
      </c>
      <c r="G12" s="80">
        <v>0.50830399999999998</v>
      </c>
      <c r="H12" s="80">
        <v>0</v>
      </c>
      <c r="I12" s="81">
        <f t="shared" si="0"/>
        <v>-1</v>
      </c>
      <c r="J12" s="82">
        <f t="shared" si="1"/>
        <v>3.7914759999999994</v>
      </c>
      <c r="K12" s="94">
        <f t="shared" si="2"/>
        <v>-1</v>
      </c>
      <c r="L12" s="78" t="s">
        <v>61</v>
      </c>
      <c r="M12" s="97" t="s">
        <v>62</v>
      </c>
    </row>
    <row r="13" spans="1:13" x14ac:dyDescent="0.3">
      <c r="A13" s="77" t="s">
        <v>66</v>
      </c>
      <c r="B13" s="88" t="s">
        <v>60</v>
      </c>
      <c r="C13" s="79" t="s">
        <v>46</v>
      </c>
      <c r="D13" s="80">
        <v>5.6820490199999991</v>
      </c>
      <c r="E13" s="80">
        <v>4.5662684100000002</v>
      </c>
      <c r="F13" s="80">
        <v>6.8362008000000012</v>
      </c>
      <c r="G13" s="80">
        <v>11.276736570000001</v>
      </c>
      <c r="H13" s="80">
        <v>7.0963791400000007</v>
      </c>
      <c r="I13" s="81">
        <f t="shared" si="0"/>
        <v>-0.37070631242031393</v>
      </c>
      <c r="J13" s="82">
        <f t="shared" si="1"/>
        <v>7.0915267880000004</v>
      </c>
      <c r="K13" s="94">
        <f t="shared" si="2"/>
        <v>6.8424644580233895E-4</v>
      </c>
      <c r="L13" s="78" t="s">
        <v>61</v>
      </c>
      <c r="M13" s="97" t="s">
        <v>62</v>
      </c>
    </row>
    <row r="14" spans="1:13" x14ac:dyDescent="0.3">
      <c r="A14" s="90" t="s">
        <v>67</v>
      </c>
      <c r="B14" s="91" t="s">
        <v>60</v>
      </c>
      <c r="C14" s="92" t="s">
        <v>46</v>
      </c>
      <c r="D14" s="80">
        <f>+D9-D13</f>
        <v>-1.8387730199999992</v>
      </c>
      <c r="E14" s="80">
        <f t="shared" ref="E14:H14" si="3">+E9-E13</f>
        <v>7.6737535899999996</v>
      </c>
      <c r="F14" s="80">
        <f t="shared" si="3"/>
        <v>1.0572601999999991</v>
      </c>
      <c r="G14" s="80">
        <f t="shared" si="3"/>
        <v>-9.8029605699999998</v>
      </c>
      <c r="H14" s="80">
        <f t="shared" si="3"/>
        <v>-6.1970111400000008</v>
      </c>
      <c r="I14" s="81">
        <f t="shared" si="0"/>
        <v>-0.36784289850509921</v>
      </c>
      <c r="J14" s="82">
        <f t="shared" si="1"/>
        <v>-1.8215461879999999</v>
      </c>
      <c r="K14" s="94">
        <f t="shared" si="2"/>
        <v>2.4020609418661643</v>
      </c>
      <c r="L14" s="78" t="s">
        <v>61</v>
      </c>
      <c r="M14" s="97" t="s">
        <v>62</v>
      </c>
    </row>
    <row r="15" spans="1:13" x14ac:dyDescent="0.3">
      <c r="A15" s="13" t="s">
        <v>69</v>
      </c>
      <c r="B15" s="13"/>
      <c r="C15" s="13"/>
      <c r="D15" s="13"/>
      <c r="E15" s="13"/>
      <c r="F15" s="13"/>
      <c r="G15" s="13"/>
      <c r="H15" s="13"/>
      <c r="I15" s="13"/>
      <c r="J15" s="13"/>
      <c r="K15" s="13"/>
      <c r="L15" s="13"/>
      <c r="M15" s="13"/>
    </row>
    <row r="16" spans="1:13" x14ac:dyDescent="0.3">
      <c r="A16" s="13" t="s">
        <v>130</v>
      </c>
      <c r="B16" s="13"/>
      <c r="C16" s="13"/>
      <c r="D16" s="13"/>
      <c r="E16" s="13"/>
      <c r="F16" s="13"/>
      <c r="G16" s="13"/>
      <c r="H16" s="13"/>
      <c r="I16" s="13"/>
      <c r="J16" s="13"/>
      <c r="K16" s="13"/>
      <c r="L16" s="13"/>
      <c r="M16" s="13"/>
    </row>
  </sheetData>
  <mergeCells count="1">
    <mergeCell ref="A9:A1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C00A-DA9A-4F67-AFC6-058275E6210D}">
  <dimension ref="A1:M17"/>
  <sheetViews>
    <sheetView zoomScaleNormal="100" workbookViewId="0"/>
  </sheetViews>
  <sheetFormatPr defaultRowHeight="14.4" x14ac:dyDescent="0.3"/>
  <cols>
    <col min="1" max="1" width="31.88671875" bestFit="1" customWidth="1"/>
    <col min="2" max="2" width="10.5546875" bestFit="1" customWidth="1"/>
    <col min="3" max="3" width="12.109375" bestFit="1" customWidth="1"/>
    <col min="12" max="12" width="24" bestFit="1" customWidth="1"/>
  </cols>
  <sheetData>
    <row r="1" spans="1:13" x14ac:dyDescent="0.3">
      <c r="A1" s="122" t="s">
        <v>26</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97" t="s">
        <v>46</v>
      </c>
      <c r="D3" s="80">
        <v>548.79243439999993</v>
      </c>
      <c r="E3" s="80">
        <v>566.22330948000001</v>
      </c>
      <c r="F3" s="80">
        <v>592.00293378999993</v>
      </c>
      <c r="G3" s="80">
        <v>647.24634882999999</v>
      </c>
      <c r="H3" s="80">
        <v>658.76976453916893</v>
      </c>
      <c r="I3" s="81">
        <f t="shared" ref="I3:I15" si="0">IF(ISBLANK(H3),"N/A",IF(ISNA(H3/G3-1),"N/A",IF(ISERROR(H3/G3-1),"N/A",H3/G3-1)))</f>
        <v>1.7803755447982628E-2</v>
      </c>
      <c r="J3" s="82">
        <f t="shared" ref="J3:J15" si="1">IF(ISBLANK(H3),"",IF(ISNA(AVERAGE(D3:H3)),"N/A",IF(ISERROR(AVERAGE(D3:H3)),"N/A",AVERAGE(D3:H3))))</f>
        <v>602.60695820783371</v>
      </c>
      <c r="K3" s="81">
        <f t="shared" ref="K3:K15" si="2">IF(ISBLANK(H3),"",IF(ISNA(H3/AVERAGE(D3:H3)-1),"N/A",IF(ISERROR(H3/AVERAGE(D3:H3)-1),"N/A",H3/AVERAGE(D3:H3)-1)))</f>
        <v>9.319973087991662E-2</v>
      </c>
      <c r="L3" s="83" t="s">
        <v>408</v>
      </c>
      <c r="M3" s="83" t="s">
        <v>47</v>
      </c>
    </row>
    <row r="4" spans="1:13" x14ac:dyDescent="0.3">
      <c r="A4" s="98" t="s">
        <v>200</v>
      </c>
      <c r="B4" s="78"/>
      <c r="C4" s="99" t="s">
        <v>141</v>
      </c>
      <c r="D4" s="87">
        <v>294.89204999999998</v>
      </c>
      <c r="E4" s="87">
        <v>301.50328999999999</v>
      </c>
      <c r="F4" s="87">
        <v>262.70961</v>
      </c>
      <c r="G4" s="87">
        <v>254.40582000000001</v>
      </c>
      <c r="H4" s="83" t="s">
        <v>116</v>
      </c>
      <c r="I4" s="81" t="str">
        <f t="shared" si="0"/>
        <v>N/A</v>
      </c>
      <c r="J4" s="82">
        <f t="shared" si="1"/>
        <v>278.37769250000002</v>
      </c>
      <c r="K4" s="81" t="str">
        <f t="shared" si="2"/>
        <v>N/A</v>
      </c>
      <c r="L4" s="83" t="s">
        <v>410</v>
      </c>
      <c r="M4" s="84" t="s">
        <v>117</v>
      </c>
    </row>
    <row r="5" spans="1:13" x14ac:dyDescent="0.3">
      <c r="A5" s="98" t="s">
        <v>201</v>
      </c>
      <c r="B5" s="88"/>
      <c r="C5" s="99" t="s">
        <v>141</v>
      </c>
      <c r="D5" s="87">
        <v>164.11415</v>
      </c>
      <c r="E5" s="87">
        <v>166.3784</v>
      </c>
      <c r="F5" s="87">
        <v>148.55000000000001</v>
      </c>
      <c r="G5" s="87">
        <v>144.14183</v>
      </c>
      <c r="H5" s="83" t="s">
        <v>116</v>
      </c>
      <c r="I5" s="81" t="str">
        <f t="shared" si="0"/>
        <v>N/A</v>
      </c>
      <c r="J5" s="82">
        <f t="shared" si="1"/>
        <v>155.79609500000001</v>
      </c>
      <c r="K5" s="81" t="str">
        <f t="shared" si="2"/>
        <v>N/A</v>
      </c>
      <c r="L5" s="83" t="s">
        <v>410</v>
      </c>
      <c r="M5" s="84" t="s">
        <v>117</v>
      </c>
    </row>
    <row r="6" spans="1:13" x14ac:dyDescent="0.3">
      <c r="A6" s="98" t="s">
        <v>202</v>
      </c>
      <c r="B6" s="88"/>
      <c r="C6" s="99" t="s">
        <v>146</v>
      </c>
      <c r="D6" s="100">
        <v>0.107943072035817</v>
      </c>
      <c r="E6" s="100">
        <v>0.11475553632233999</v>
      </c>
      <c r="F6" s="100">
        <v>0.10792451459396625</v>
      </c>
      <c r="G6" s="100">
        <v>0.10341778897411041</v>
      </c>
      <c r="H6" s="83" t="s">
        <v>116</v>
      </c>
      <c r="I6" s="81" t="str">
        <f t="shared" si="0"/>
        <v>N/A</v>
      </c>
      <c r="J6" s="82">
        <f t="shared" si="1"/>
        <v>0.10851022798155842</v>
      </c>
      <c r="K6" s="81" t="str">
        <f t="shared" si="2"/>
        <v>N/A</v>
      </c>
      <c r="L6" s="83" t="s">
        <v>410</v>
      </c>
      <c r="M6" s="84" t="s">
        <v>117</v>
      </c>
    </row>
    <row r="7" spans="1:13" x14ac:dyDescent="0.3">
      <c r="A7" s="98" t="s">
        <v>203</v>
      </c>
      <c r="B7" s="78"/>
      <c r="C7" s="99" t="s">
        <v>204</v>
      </c>
      <c r="D7" s="83">
        <v>1120.9824228975344</v>
      </c>
      <c r="E7" s="83">
        <v>1143.600228625</v>
      </c>
      <c r="F7" s="86">
        <v>1094.1582611447568</v>
      </c>
      <c r="G7" s="86">
        <v>1053.6095819277216</v>
      </c>
      <c r="H7" s="86">
        <v>1074.8821350654396</v>
      </c>
      <c r="I7" s="81">
        <f t="shared" si="0"/>
        <v>2.0190166739749049E-2</v>
      </c>
      <c r="J7" s="82">
        <f t="shared" si="1"/>
        <v>1097.4465259320905</v>
      </c>
      <c r="K7" s="81">
        <f t="shared" si="2"/>
        <v>-2.0560811240881494E-2</v>
      </c>
      <c r="L7" s="83" t="s">
        <v>205</v>
      </c>
      <c r="M7" s="101" t="s">
        <v>206</v>
      </c>
    </row>
    <row r="8" spans="1:13" x14ac:dyDescent="0.3">
      <c r="A8" s="98" t="s">
        <v>207</v>
      </c>
      <c r="B8" s="78"/>
      <c r="C8" s="97" t="s">
        <v>208</v>
      </c>
      <c r="D8" s="83">
        <v>49</v>
      </c>
      <c r="E8" s="83">
        <v>50.5</v>
      </c>
      <c r="F8" s="83">
        <v>54.7</v>
      </c>
      <c r="G8" s="83">
        <v>62</v>
      </c>
      <c r="H8" s="83" t="s">
        <v>116</v>
      </c>
      <c r="I8" s="81" t="str">
        <f t="shared" si="0"/>
        <v>N/A</v>
      </c>
      <c r="J8" s="82">
        <f t="shared" si="1"/>
        <v>54.05</v>
      </c>
      <c r="K8" s="81" t="str">
        <f t="shared" si="2"/>
        <v>N/A</v>
      </c>
      <c r="L8" s="102" t="s">
        <v>209</v>
      </c>
      <c r="M8" s="101" t="s">
        <v>210</v>
      </c>
    </row>
    <row r="9" spans="1:13" x14ac:dyDescent="0.3">
      <c r="A9" s="98" t="s">
        <v>211</v>
      </c>
      <c r="B9" s="78"/>
      <c r="C9" s="97" t="s">
        <v>212</v>
      </c>
      <c r="D9" s="83">
        <v>6.81</v>
      </c>
      <c r="E9" s="83">
        <v>6.99</v>
      </c>
      <c r="F9" s="83">
        <v>7.67</v>
      </c>
      <c r="G9" s="83">
        <v>8.5500000000000007</v>
      </c>
      <c r="H9" s="103">
        <v>8.5299999999999994</v>
      </c>
      <c r="I9" s="81">
        <f t="shared" si="0"/>
        <v>-2.3391812865498629E-3</v>
      </c>
      <c r="J9" s="82">
        <f t="shared" si="1"/>
        <v>7.7099999999999991</v>
      </c>
      <c r="K9" s="81">
        <f t="shared" si="2"/>
        <v>0.10635538261997413</v>
      </c>
      <c r="L9" s="102" t="s">
        <v>209</v>
      </c>
      <c r="M9" s="101" t="s">
        <v>210</v>
      </c>
    </row>
    <row r="10" spans="1:13" x14ac:dyDescent="0.3">
      <c r="A10" s="154" t="s">
        <v>59</v>
      </c>
      <c r="B10" s="88" t="s">
        <v>60</v>
      </c>
      <c r="C10" s="97" t="s">
        <v>46</v>
      </c>
      <c r="D10" s="80">
        <v>9.6103269999999998</v>
      </c>
      <c r="E10" s="80">
        <v>9.5857759999999992</v>
      </c>
      <c r="F10" s="80">
        <v>17.791698</v>
      </c>
      <c r="G10" s="80">
        <v>20.727937000000001</v>
      </c>
      <c r="H10" s="80">
        <v>38.003014999999998</v>
      </c>
      <c r="I10" s="81">
        <f t="shared" si="0"/>
        <v>0.8334200359640227</v>
      </c>
      <c r="J10" s="82">
        <f t="shared" si="1"/>
        <v>19.143750599999997</v>
      </c>
      <c r="K10" s="81">
        <f t="shared" si="2"/>
        <v>0.98513947418433268</v>
      </c>
      <c r="L10" s="83" t="s">
        <v>61</v>
      </c>
      <c r="M10" s="84" t="s">
        <v>62</v>
      </c>
    </row>
    <row r="11" spans="1:13" x14ac:dyDescent="0.3">
      <c r="A11" s="154"/>
      <c r="B11" s="89" t="s">
        <v>65</v>
      </c>
      <c r="C11" s="97" t="s">
        <v>46</v>
      </c>
      <c r="D11" s="80">
        <v>2.1540240000000002</v>
      </c>
      <c r="E11" s="80">
        <v>3.9554179999999999</v>
      </c>
      <c r="F11" s="80">
        <v>11.632845</v>
      </c>
      <c r="G11" s="80">
        <v>11.938378</v>
      </c>
      <c r="H11" s="80">
        <v>32.013775000000003</v>
      </c>
      <c r="I11" s="81">
        <f t="shared" si="0"/>
        <v>1.6815849690803897</v>
      </c>
      <c r="J11" s="82">
        <f t="shared" si="1"/>
        <v>12.338888000000001</v>
      </c>
      <c r="K11" s="81">
        <f t="shared" si="2"/>
        <v>1.5945429604353327</v>
      </c>
      <c r="L11" s="83" t="s">
        <v>61</v>
      </c>
      <c r="M11" s="84" t="s">
        <v>62</v>
      </c>
    </row>
    <row r="12" spans="1:13" x14ac:dyDescent="0.3">
      <c r="A12" s="154"/>
      <c r="B12" s="89" t="s">
        <v>128</v>
      </c>
      <c r="C12" s="97" t="s">
        <v>46</v>
      </c>
      <c r="D12" s="80">
        <v>1.142164</v>
      </c>
      <c r="E12" s="80">
        <v>1.8655349999999999</v>
      </c>
      <c r="F12" s="80">
        <v>1.7445029999999999</v>
      </c>
      <c r="G12" s="80">
        <v>3.6486930000000002</v>
      </c>
      <c r="H12" s="80">
        <v>2.9146969999999999</v>
      </c>
      <c r="I12" s="81">
        <f t="shared" si="0"/>
        <v>-0.20116682877951098</v>
      </c>
      <c r="J12" s="82">
        <f t="shared" si="1"/>
        <v>2.2631184000000002</v>
      </c>
      <c r="K12" s="81">
        <f t="shared" si="2"/>
        <v>0.28791184765233657</v>
      </c>
      <c r="L12" s="83" t="s">
        <v>61</v>
      </c>
      <c r="M12" s="84" t="s">
        <v>62</v>
      </c>
    </row>
    <row r="13" spans="1:13" x14ac:dyDescent="0.3">
      <c r="A13" s="154"/>
      <c r="B13" s="89" t="s">
        <v>183</v>
      </c>
      <c r="C13" s="97" t="s">
        <v>46</v>
      </c>
      <c r="D13" s="80">
        <v>4.7397130000000001</v>
      </c>
      <c r="E13" s="80">
        <v>2.7436470000000002</v>
      </c>
      <c r="F13" s="80">
        <v>2.7993000000000001</v>
      </c>
      <c r="G13" s="80">
        <v>2.569426</v>
      </c>
      <c r="H13" s="80">
        <v>1.5370470000000001</v>
      </c>
      <c r="I13" s="81">
        <f t="shared" si="0"/>
        <v>-0.40179363017265335</v>
      </c>
      <c r="J13" s="82">
        <f t="shared" si="1"/>
        <v>2.8778265999999997</v>
      </c>
      <c r="K13" s="81">
        <f t="shared" si="2"/>
        <v>-0.46590006500044157</v>
      </c>
      <c r="L13" s="83" t="s">
        <v>61</v>
      </c>
      <c r="M13" s="84" t="s">
        <v>62</v>
      </c>
    </row>
    <row r="14" spans="1:13" x14ac:dyDescent="0.3">
      <c r="A14" s="98" t="s">
        <v>66</v>
      </c>
      <c r="B14" s="88" t="s">
        <v>60</v>
      </c>
      <c r="C14" s="97" t="s">
        <v>46</v>
      </c>
      <c r="D14" s="80">
        <v>0.94013650000000004</v>
      </c>
      <c r="E14" s="80">
        <v>1.1814344299999999</v>
      </c>
      <c r="F14" s="80">
        <v>1.33954839</v>
      </c>
      <c r="G14" s="80">
        <v>1.2584556400000002</v>
      </c>
      <c r="H14" s="80">
        <v>1.0594188999999998</v>
      </c>
      <c r="I14" s="81">
        <f t="shared" si="0"/>
        <v>-0.15815952002885092</v>
      </c>
      <c r="J14" s="82">
        <f t="shared" si="1"/>
        <v>1.155798772</v>
      </c>
      <c r="K14" s="81">
        <f t="shared" si="2"/>
        <v>-8.3388107285513047E-2</v>
      </c>
      <c r="L14" s="83" t="s">
        <v>61</v>
      </c>
      <c r="M14" s="84" t="s">
        <v>62</v>
      </c>
    </row>
    <row r="15" spans="1:13" x14ac:dyDescent="0.3">
      <c r="A15" s="98" t="s">
        <v>67</v>
      </c>
      <c r="B15" s="88" t="s">
        <v>60</v>
      </c>
      <c r="C15" s="97" t="s">
        <v>46</v>
      </c>
      <c r="D15" s="80">
        <f>+D10-D14</f>
        <v>8.6701905000000004</v>
      </c>
      <c r="E15" s="80">
        <f t="shared" ref="E15:H15" si="3">+E10-E14</f>
        <v>8.4043415699999997</v>
      </c>
      <c r="F15" s="80">
        <f t="shared" si="3"/>
        <v>16.452149609999999</v>
      </c>
      <c r="G15" s="80">
        <f t="shared" si="3"/>
        <v>19.46948136</v>
      </c>
      <c r="H15" s="80">
        <f t="shared" si="3"/>
        <v>36.943596100000001</v>
      </c>
      <c r="I15" s="81">
        <f t="shared" si="0"/>
        <v>0.89751310869022549</v>
      </c>
      <c r="J15" s="82">
        <f t="shared" si="1"/>
        <v>17.987951828</v>
      </c>
      <c r="K15" s="81">
        <f t="shared" si="2"/>
        <v>1.0537966997717714</v>
      </c>
      <c r="L15" s="83" t="s">
        <v>61</v>
      </c>
      <c r="M15" s="84" t="s">
        <v>62</v>
      </c>
    </row>
    <row r="16" spans="1:13" x14ac:dyDescent="0.3">
      <c r="A16" s="13" t="s">
        <v>69</v>
      </c>
      <c r="B16" s="13"/>
      <c r="C16" s="13"/>
      <c r="D16" s="13"/>
      <c r="E16" s="13"/>
      <c r="F16" s="13"/>
      <c r="G16" s="13"/>
      <c r="H16" s="13"/>
      <c r="I16" s="13"/>
      <c r="J16" s="13"/>
      <c r="K16" s="13"/>
      <c r="L16" s="13"/>
      <c r="M16" s="13"/>
    </row>
    <row r="17" spans="1:13" x14ac:dyDescent="0.3">
      <c r="A17" s="13" t="s">
        <v>213</v>
      </c>
      <c r="B17" s="13"/>
      <c r="C17" s="13"/>
      <c r="D17" s="13"/>
      <c r="E17" s="13"/>
      <c r="F17" s="13"/>
      <c r="G17" s="13"/>
      <c r="H17" s="13"/>
      <c r="I17" s="13"/>
      <c r="J17" s="13"/>
      <c r="K17" s="13"/>
      <c r="L17" s="13"/>
      <c r="M17" s="13"/>
    </row>
  </sheetData>
  <mergeCells count="1">
    <mergeCell ref="A10:A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82CF-417A-444C-B06C-2D2136854672}">
  <dimension ref="A1:M15"/>
  <sheetViews>
    <sheetView workbookViewId="0"/>
  </sheetViews>
  <sheetFormatPr defaultRowHeight="14.4" x14ac:dyDescent="0.3"/>
  <cols>
    <col min="1" max="1" width="25.5546875" customWidth="1"/>
    <col min="2" max="2" width="10.5546875" bestFit="1" customWidth="1"/>
    <col min="3" max="3" width="10" bestFit="1" customWidth="1"/>
    <col min="4" max="8" width="10" customWidth="1"/>
    <col min="10" max="10" width="8.6640625" customWidth="1"/>
    <col min="12" max="12" width="24" bestFit="1" customWidth="1"/>
    <col min="13" max="13" width="161.88671875" bestFit="1" customWidth="1"/>
  </cols>
  <sheetData>
    <row r="1" spans="1:13" x14ac:dyDescent="0.3">
      <c r="A1" s="122" t="s">
        <v>9</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ht="24" x14ac:dyDescent="0.3">
      <c r="A3" s="98" t="s">
        <v>45</v>
      </c>
      <c r="B3" s="78"/>
      <c r="C3" s="97" t="s">
        <v>46</v>
      </c>
      <c r="D3" s="113">
        <v>2259.7349690000001</v>
      </c>
      <c r="E3" s="113">
        <v>1368.8539899</v>
      </c>
      <c r="F3" s="113">
        <v>751.61956699999996</v>
      </c>
      <c r="G3" s="113">
        <v>648.93154514999992</v>
      </c>
      <c r="H3" s="113">
        <v>4158.5044819946506</v>
      </c>
      <c r="I3" s="94">
        <f>IF(ISBLANK(H3),"N/A",IF(ISNA(H3/G3-1),"N/A",IF(ISERROR(H3/G3-1),"N/A",H3/G3-1)))</f>
        <v>5.4082329069600341</v>
      </c>
      <c r="J3" s="95">
        <f>IF(ISBLANK(H3),"",IF(ISNA(AVERAGE(D3:H3)),"N/A",IF(ISERROR(AVERAGE(D3:H3)),"N/A",AVERAGE(D3:H3))))</f>
        <v>1837.5289106089301</v>
      </c>
      <c r="K3" s="94">
        <f>IF(ISBLANK(H3),"",IF(ISNA(H3/AVERAGE(D3:H3)-1),"N/A",IF(ISERROR(H3/AVERAGE(D3:H3)-1),"N/A",H3/AVERAGE(D3:H3)-1)))</f>
        <v>1.2630960840864174</v>
      </c>
      <c r="L3" s="78" t="s">
        <v>408</v>
      </c>
      <c r="M3" s="145" t="s">
        <v>47</v>
      </c>
    </row>
    <row r="4" spans="1:13" x14ac:dyDescent="0.3">
      <c r="A4" s="98" t="s">
        <v>48</v>
      </c>
      <c r="B4" s="88"/>
      <c r="C4" s="99" t="s">
        <v>49</v>
      </c>
      <c r="D4" s="114">
        <v>3248.4169999999999</v>
      </c>
      <c r="E4" s="114">
        <v>2793.4560000000001</v>
      </c>
      <c r="F4" s="114">
        <v>2381.953</v>
      </c>
      <c r="G4" s="114">
        <v>2132.0160000000001</v>
      </c>
      <c r="H4" s="114">
        <v>3800</v>
      </c>
      <c r="I4" s="94">
        <f>IF(ISBLANK(H4),"N/A",IF(ISNA(H4/G4-1),"N/A",IF(ISERROR(H4/G4-1),"N/A",H4/G4-1)))</f>
        <v>0.78235060149642388</v>
      </c>
      <c r="J4" s="95">
        <f>IF(ISBLANK(H4),"",IF(ISNA(AVERAGE(D4:H4)),"N/A",IF(ISERROR(AVERAGE(D4:H4)),"N/A",AVERAGE(D4:H4))))</f>
        <v>2871.1683999999996</v>
      </c>
      <c r="K4" s="94">
        <f t="shared" ref="K4:K13" si="0">IF(ISBLANK(H4),"",IF(ISNA(H4/AVERAGE(D4:H4)-1),"N/A",IF(ISERROR(H4/AVERAGE(D4:H4)-1),"N/A",H4/AVERAGE(D4:H4)-1)))</f>
        <v>0.32350300316763048</v>
      </c>
      <c r="L4" s="78" t="s">
        <v>57</v>
      </c>
      <c r="M4" s="97" t="s">
        <v>50</v>
      </c>
    </row>
    <row r="5" spans="1:13" x14ac:dyDescent="0.3">
      <c r="A5" s="98" t="s">
        <v>51</v>
      </c>
      <c r="B5" s="88"/>
      <c r="C5" s="97" t="s">
        <v>52</v>
      </c>
      <c r="D5" s="115">
        <f>+D6/D4</f>
        <v>3.0227399992057675</v>
      </c>
      <c r="E5" s="115">
        <f>+E6/E4</f>
        <v>1.6835210577864836</v>
      </c>
      <c r="F5" s="87">
        <f>+F6/F4</f>
        <v>0.776814236049158</v>
      </c>
      <c r="G5" s="115">
        <f>+G6/G4</f>
        <v>0.83130942732137092</v>
      </c>
      <c r="H5" s="115">
        <f>+H6/H4</f>
        <v>3.45</v>
      </c>
      <c r="I5" s="94">
        <f>IF(ISBLANK(H5),"N/A",IF(ISNA(H5/G5-1),"N/A",IF(ISERROR(H5/G5-1),"N/A",H5/G5-1)))</f>
        <v>3.150079244399433</v>
      </c>
      <c r="J5" s="116">
        <f>IF(ISBLANK(H5),"",IF(ISNA(AVERAGE(D5:H5)),"N/A",IF(ISERROR(AVERAGE(D5:H5)),"N/A",AVERAGE(D5:H5))))</f>
        <v>1.9528769440725562</v>
      </c>
      <c r="K5" s="94">
        <f t="shared" si="0"/>
        <v>0.76662436948296553</v>
      </c>
      <c r="L5" s="78" t="s">
        <v>57</v>
      </c>
      <c r="M5" s="97" t="s">
        <v>50</v>
      </c>
    </row>
    <row r="6" spans="1:13" x14ac:dyDescent="0.3">
      <c r="A6" s="98" t="s">
        <v>53</v>
      </c>
      <c r="B6" s="78"/>
      <c r="C6" s="99" t="s">
        <v>54</v>
      </c>
      <c r="D6" s="114">
        <v>9819.1200000000008</v>
      </c>
      <c r="E6" s="114">
        <v>4702.8419999999996</v>
      </c>
      <c r="F6" s="114">
        <v>1850.335</v>
      </c>
      <c r="G6" s="114">
        <v>1772.365</v>
      </c>
      <c r="H6" s="114">
        <v>13110</v>
      </c>
      <c r="I6" s="94">
        <f>IF(ISBLANK(H6),"N/A",IF(ISNA(H6/G6-1),"N/A",IF(ISERROR(H6/G6-1),"N/A",H6/G6-1)))</f>
        <v>6.3968962375131531</v>
      </c>
      <c r="J6" s="95">
        <f>IF(ISBLANK(H6),"",IF(ISNA(AVERAGE(D6:H6)),"N/A",IF(ISERROR(AVERAGE(D6:H6)),"N/A",AVERAGE(D6:H6))))</f>
        <v>6250.9323999999997</v>
      </c>
      <c r="K6" s="94">
        <f t="shared" si="0"/>
        <v>1.0972871183185409</v>
      </c>
      <c r="L6" s="78" t="s">
        <v>57</v>
      </c>
      <c r="M6" s="97" t="s">
        <v>50</v>
      </c>
    </row>
    <row r="7" spans="1:13" x14ac:dyDescent="0.3">
      <c r="A7" s="98" t="s">
        <v>55</v>
      </c>
      <c r="B7" s="78"/>
      <c r="C7" s="97" t="s">
        <v>56</v>
      </c>
      <c r="D7" s="113">
        <v>231.49299999999999</v>
      </c>
      <c r="E7" s="113">
        <v>271.95299999999997</v>
      </c>
      <c r="F7" s="113">
        <v>351.59199999999998</v>
      </c>
      <c r="G7" s="113">
        <v>341.69600000000003</v>
      </c>
      <c r="H7" s="113">
        <v>308.971</v>
      </c>
      <c r="I7" s="94">
        <f>IF(ISBLANK(H7),"N/A",IF(ISNA(H7/G7-1),"N/A",IF(ISERROR(H7/G7-1),"N/A",H7/G7-1)))</f>
        <v>-9.5772265405506762E-2</v>
      </c>
      <c r="J7" s="95">
        <f>IF(ISBLANK(H7),"",IF(ISNA(AVERAGE(D7:H7)),"N/A",IF(ISERROR(AVERAGE(D7:H7)),"N/A",AVERAGE(D7:H7))))</f>
        <v>301.14099999999996</v>
      </c>
      <c r="K7" s="94">
        <f t="shared" si="0"/>
        <v>2.6001109114999421E-2</v>
      </c>
      <c r="L7" s="106" t="s">
        <v>409</v>
      </c>
      <c r="M7" s="97" t="s">
        <v>58</v>
      </c>
    </row>
    <row r="8" spans="1:13" x14ac:dyDescent="0.3">
      <c r="A8" s="154" t="s">
        <v>59</v>
      </c>
      <c r="B8" s="88" t="s">
        <v>60</v>
      </c>
      <c r="C8" s="97" t="s">
        <v>46</v>
      </c>
      <c r="D8" s="113">
        <v>1189.6553739999999</v>
      </c>
      <c r="E8" s="113">
        <v>491.47424599999999</v>
      </c>
      <c r="F8" s="113">
        <v>94.138112000000007</v>
      </c>
      <c r="G8" s="113">
        <v>46.473123999999999</v>
      </c>
      <c r="H8" s="113">
        <v>1422.9298839999999</v>
      </c>
      <c r="I8" s="94">
        <f t="shared" ref="I8:I13" si="1">IF(ISBLANK(H8),"N/A",IF(ISNA(H8/G8-1),"N/A",IF(ISERROR(H8/G8-1),"N/A",H8/G8-1)))</f>
        <v>29.6183394083858</v>
      </c>
      <c r="J8" s="95">
        <f t="shared" ref="J8:J13" si="2">IF(ISBLANK(H8),"",IF(ISNA(AVERAGE(D8:H8)),"N/A",IF(ISERROR(AVERAGE(D8:H8)),"N/A",AVERAGE(D8:H8))))</f>
        <v>648.93414800000005</v>
      </c>
      <c r="K8" s="94">
        <f t="shared" si="0"/>
        <v>1.1927184574666576</v>
      </c>
      <c r="L8" s="78" t="s">
        <v>61</v>
      </c>
      <c r="M8" s="97" t="s">
        <v>62</v>
      </c>
    </row>
    <row r="9" spans="1:13" x14ac:dyDescent="0.3">
      <c r="A9" s="154"/>
      <c r="B9" s="89" t="s">
        <v>63</v>
      </c>
      <c r="C9" s="97" t="s">
        <v>46</v>
      </c>
      <c r="D9" s="113">
        <v>176.659682</v>
      </c>
      <c r="E9" s="113">
        <v>60.694026000000001</v>
      </c>
      <c r="F9" s="113">
        <v>0</v>
      </c>
      <c r="G9" s="113">
        <v>0</v>
      </c>
      <c r="H9" s="113">
        <v>282.534088</v>
      </c>
      <c r="I9" s="94" t="str">
        <f t="shared" si="1"/>
        <v>N/A</v>
      </c>
      <c r="J9" s="95">
        <f t="shared" si="2"/>
        <v>103.9775592</v>
      </c>
      <c r="K9" s="94">
        <f t="shared" si="0"/>
        <v>1.7172602451318166</v>
      </c>
      <c r="L9" s="78" t="s">
        <v>61</v>
      </c>
      <c r="M9" s="97" t="s">
        <v>62</v>
      </c>
    </row>
    <row r="10" spans="1:13" x14ac:dyDescent="0.3">
      <c r="A10" s="154"/>
      <c r="B10" s="89" t="s">
        <v>64</v>
      </c>
      <c r="C10" s="97" t="s">
        <v>46</v>
      </c>
      <c r="D10" s="113">
        <v>128.532937</v>
      </c>
      <c r="E10" s="113">
        <v>111.53571100000001</v>
      </c>
      <c r="F10" s="113">
        <v>20.168037999999999</v>
      </c>
      <c r="G10" s="113">
        <v>4.6854199999999997</v>
      </c>
      <c r="H10" s="113">
        <v>264.67167699999999</v>
      </c>
      <c r="I10" s="94">
        <f t="shared" si="1"/>
        <v>55.488356860217444</v>
      </c>
      <c r="J10" s="95">
        <f t="shared" si="2"/>
        <v>105.91875660000001</v>
      </c>
      <c r="K10" s="94">
        <f t="shared" si="0"/>
        <v>1.498817825057436</v>
      </c>
      <c r="L10" s="78" t="s">
        <v>61</v>
      </c>
      <c r="M10" s="97" t="s">
        <v>62</v>
      </c>
    </row>
    <row r="11" spans="1:13" x14ac:dyDescent="0.3">
      <c r="A11" s="154"/>
      <c r="B11" s="89" t="s">
        <v>65</v>
      </c>
      <c r="C11" s="97" t="s">
        <v>46</v>
      </c>
      <c r="D11" s="113">
        <v>97.357927000000004</v>
      </c>
      <c r="E11" s="113">
        <v>68.444218000000006</v>
      </c>
      <c r="F11" s="113">
        <v>8.7634570000000007</v>
      </c>
      <c r="G11" s="113">
        <v>5.4775970000000003</v>
      </c>
      <c r="H11" s="113">
        <v>162.24808200000001</v>
      </c>
      <c r="I11" s="94">
        <f t="shared" si="1"/>
        <v>28.620302844477241</v>
      </c>
      <c r="J11" s="95">
        <f t="shared" si="2"/>
        <v>68.458256200000008</v>
      </c>
      <c r="K11" s="94">
        <f t="shared" si="0"/>
        <v>1.3700294311615839</v>
      </c>
      <c r="L11" s="78" t="s">
        <v>61</v>
      </c>
      <c r="M11" s="97" t="s">
        <v>62</v>
      </c>
    </row>
    <row r="12" spans="1:13" x14ac:dyDescent="0.3">
      <c r="A12" s="98" t="s">
        <v>66</v>
      </c>
      <c r="B12" s="88" t="s">
        <v>60</v>
      </c>
      <c r="C12" s="97" t="s">
        <v>46</v>
      </c>
      <c r="D12" s="113">
        <v>0.16347648000000001</v>
      </c>
      <c r="E12" s="113">
        <v>0.40795054000000003</v>
      </c>
      <c r="F12" s="113">
        <v>42.700044290000001</v>
      </c>
      <c r="G12" s="113">
        <v>209.45143615999999</v>
      </c>
      <c r="H12" s="113">
        <v>81.377630409999995</v>
      </c>
      <c r="I12" s="94">
        <f t="shared" si="1"/>
        <v>-0.61147255945365964</v>
      </c>
      <c r="J12" s="95">
        <f t="shared" si="2"/>
        <v>66.820107575999998</v>
      </c>
      <c r="K12" s="94">
        <f t="shared" si="0"/>
        <v>0.21786140971776402</v>
      </c>
      <c r="L12" s="78" t="s">
        <v>61</v>
      </c>
      <c r="M12" s="97" t="s">
        <v>62</v>
      </c>
    </row>
    <row r="13" spans="1:13" x14ac:dyDescent="0.3">
      <c r="A13" s="98" t="s">
        <v>67</v>
      </c>
      <c r="B13" s="88" t="s">
        <v>60</v>
      </c>
      <c r="C13" s="97" t="s">
        <v>46</v>
      </c>
      <c r="D13" s="117">
        <f t="shared" ref="D13:G13" si="3">+D8-D12</f>
        <v>1189.4918975199998</v>
      </c>
      <c r="E13" s="117">
        <f t="shared" si="3"/>
        <v>491.06629545999999</v>
      </c>
      <c r="F13" s="117">
        <f t="shared" si="3"/>
        <v>51.438067710000006</v>
      </c>
      <c r="G13" s="117">
        <f t="shared" si="3"/>
        <v>-162.97831215999997</v>
      </c>
      <c r="H13" s="117">
        <f>+H8-H12</f>
        <v>1341.55225359</v>
      </c>
      <c r="I13" s="94">
        <f t="shared" si="1"/>
        <v>-9.2314771567456404</v>
      </c>
      <c r="J13" s="95">
        <f t="shared" si="2"/>
        <v>582.114040424</v>
      </c>
      <c r="K13" s="94">
        <f t="shared" si="0"/>
        <v>1.3046210199857757</v>
      </c>
      <c r="L13" s="78" t="s">
        <v>61</v>
      </c>
      <c r="M13" s="97" t="s">
        <v>62</v>
      </c>
    </row>
    <row r="14" spans="1:13" x14ac:dyDescent="0.3">
      <c r="A14" s="13" t="s">
        <v>68</v>
      </c>
    </row>
    <row r="15" spans="1:13" x14ac:dyDescent="0.3">
      <c r="A15" s="13" t="s">
        <v>69</v>
      </c>
    </row>
  </sheetData>
  <mergeCells count="1">
    <mergeCell ref="A8:A11"/>
  </mergeCell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09037-3CD8-4848-A10B-9B58D979E27A}">
  <dimension ref="A1:M21"/>
  <sheetViews>
    <sheetView workbookViewId="0"/>
  </sheetViews>
  <sheetFormatPr defaultRowHeight="14.4" x14ac:dyDescent="0.3"/>
  <cols>
    <col min="1" max="1" width="21.6640625" bestFit="1" customWidth="1"/>
    <col min="12" max="12" width="14.44140625" customWidth="1"/>
    <col min="13" max="13" width="10.44140625" customWidth="1"/>
  </cols>
  <sheetData>
    <row r="1" spans="1:13" x14ac:dyDescent="0.3">
      <c r="A1" s="122" t="s">
        <v>27</v>
      </c>
      <c r="B1" s="122"/>
      <c r="C1" s="122"/>
      <c r="D1" s="122"/>
      <c r="E1" s="122"/>
      <c r="F1" s="122"/>
      <c r="G1" s="122"/>
      <c r="H1" s="122"/>
      <c r="I1" s="122"/>
      <c r="J1" s="122"/>
      <c r="K1" s="122"/>
      <c r="L1" s="122"/>
      <c r="M1" s="122"/>
    </row>
    <row r="2" spans="1:13" x14ac:dyDescent="0.3">
      <c r="A2" s="123" t="s">
        <v>36</v>
      </c>
      <c r="B2" s="119" t="s">
        <v>37</v>
      </c>
      <c r="C2" s="124"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77" t="s">
        <v>214</v>
      </c>
      <c r="B3" s="78"/>
      <c r="C3" s="79" t="s">
        <v>46</v>
      </c>
      <c r="D3" s="93">
        <f>+SUM(D4:D5)</f>
        <v>507.1</v>
      </c>
      <c r="E3" s="93">
        <f t="shared" ref="E3:H3" si="0">+SUM(E4:E5)</f>
        <v>548.70000000000005</v>
      </c>
      <c r="F3" s="93">
        <f t="shared" si="0"/>
        <v>514.1</v>
      </c>
      <c r="G3" s="93">
        <f t="shared" si="0"/>
        <v>542.36630866202813</v>
      </c>
      <c r="H3" s="93">
        <f t="shared" si="0"/>
        <v>524.44174838910806</v>
      </c>
      <c r="I3" s="94">
        <f t="shared" ref="I3:I17" si="1">IF(ISBLANK(H3),"N/A",IF(ISNA(H3/G3-1),"N/A",IF(ISERROR(H3/G3-1),"N/A",H3/G3-1)))</f>
        <v>-3.3048808502022298E-2</v>
      </c>
      <c r="J3" s="95">
        <f t="shared" ref="J3:J17" si="2">IF(ISBLANK(H3),"",IF(ISNA(AVERAGE(D3:H3)),"N/A",IF(ISERROR(AVERAGE(D3:H3)),"N/A",AVERAGE(D3:H3))))</f>
        <v>527.34161141022719</v>
      </c>
      <c r="K3" s="94">
        <f t="shared" ref="K3:K17" si="3">IF(ISBLANK(H3),"",IF(ISNA(H3/AVERAGE(D3:H3)-1),"N/A",IF(ISERROR(H3/AVERAGE(D3:H3)-1),"N/A",H3/AVERAGE(D3:H3)-1)))</f>
        <v>-5.499021807447102E-3</v>
      </c>
      <c r="L3" s="78" t="s">
        <v>416</v>
      </c>
      <c r="M3" s="96" t="s">
        <v>215</v>
      </c>
    </row>
    <row r="4" spans="1:13" x14ac:dyDescent="0.3">
      <c r="A4" s="77" t="s">
        <v>217</v>
      </c>
      <c r="B4" s="78"/>
      <c r="C4" s="79" t="s">
        <v>46</v>
      </c>
      <c r="D4" s="93">
        <v>133.5</v>
      </c>
      <c r="E4" s="93">
        <v>150.4</v>
      </c>
      <c r="F4" s="93">
        <v>166</v>
      </c>
      <c r="G4" s="93">
        <v>121.5014718420702</v>
      </c>
      <c r="H4" s="93">
        <v>97.558100618175743</v>
      </c>
      <c r="I4" s="94">
        <f t="shared" si="1"/>
        <v>-0.19706239653636859</v>
      </c>
      <c r="J4" s="95">
        <f t="shared" si="2"/>
        <v>133.79191449204919</v>
      </c>
      <c r="K4" s="94">
        <f t="shared" si="3"/>
        <v>-0.27082214954048434</v>
      </c>
      <c r="L4" s="78" t="s">
        <v>417</v>
      </c>
      <c r="M4" s="96" t="s">
        <v>215</v>
      </c>
    </row>
    <row r="5" spans="1:13" x14ac:dyDescent="0.3">
      <c r="A5" s="77" t="s">
        <v>216</v>
      </c>
      <c r="B5" s="78"/>
      <c r="C5" s="79" t="s">
        <v>46</v>
      </c>
      <c r="D5" s="93">
        <v>373.6</v>
      </c>
      <c r="E5" s="93">
        <v>398.3</v>
      </c>
      <c r="F5" s="93">
        <v>348.1</v>
      </c>
      <c r="G5" s="93">
        <v>420.86483681995799</v>
      </c>
      <c r="H5" s="93">
        <v>426.88364777093227</v>
      </c>
      <c r="I5" s="94">
        <f t="shared" si="1"/>
        <v>1.4301054458367712E-2</v>
      </c>
      <c r="J5" s="95">
        <f t="shared" si="2"/>
        <v>393.54969691817803</v>
      </c>
      <c r="K5" s="94">
        <f t="shared" si="3"/>
        <v>8.4700740754692028E-2</v>
      </c>
      <c r="L5" s="78" t="s">
        <v>417</v>
      </c>
      <c r="M5" s="96" t="s">
        <v>215</v>
      </c>
    </row>
    <row r="6" spans="1:13" x14ac:dyDescent="0.3">
      <c r="A6" s="77" t="s">
        <v>218</v>
      </c>
      <c r="B6" s="88"/>
      <c r="C6" s="85" t="s">
        <v>49</v>
      </c>
      <c r="D6" s="83">
        <v>307.10000000000002</v>
      </c>
      <c r="E6" s="83">
        <v>306</v>
      </c>
      <c r="F6" s="83">
        <v>306</v>
      </c>
      <c r="G6" s="83" t="s">
        <v>116</v>
      </c>
      <c r="H6" s="83" t="s">
        <v>116</v>
      </c>
      <c r="I6" s="94" t="str">
        <f t="shared" si="1"/>
        <v>N/A</v>
      </c>
      <c r="J6" s="95">
        <f t="shared" si="2"/>
        <v>306.36666666666667</v>
      </c>
      <c r="K6" s="94" t="str">
        <f t="shared" si="3"/>
        <v>N/A</v>
      </c>
      <c r="L6" s="78" t="s">
        <v>417</v>
      </c>
      <c r="M6" s="96" t="s">
        <v>215</v>
      </c>
    </row>
    <row r="7" spans="1:13" x14ac:dyDescent="0.3">
      <c r="A7" s="77" t="s">
        <v>219</v>
      </c>
      <c r="B7" s="78"/>
      <c r="C7" s="85" t="s">
        <v>49</v>
      </c>
      <c r="D7" s="83">
        <v>87.1</v>
      </c>
      <c r="E7" s="83">
        <v>87.1</v>
      </c>
      <c r="F7" s="83">
        <v>87.1</v>
      </c>
      <c r="G7" s="83" t="s">
        <v>116</v>
      </c>
      <c r="H7" s="83" t="s">
        <v>116</v>
      </c>
      <c r="I7" s="94" t="str">
        <f t="shared" si="1"/>
        <v>N/A</v>
      </c>
      <c r="J7" s="95">
        <f t="shared" si="2"/>
        <v>87.09999999999998</v>
      </c>
      <c r="K7" s="94" t="str">
        <f t="shared" si="3"/>
        <v>N/A</v>
      </c>
      <c r="L7" s="78" t="s">
        <v>417</v>
      </c>
      <c r="M7" s="96" t="s">
        <v>215</v>
      </c>
    </row>
    <row r="8" spans="1:13" x14ac:dyDescent="0.3">
      <c r="A8" s="77" t="s">
        <v>220</v>
      </c>
      <c r="B8" s="78"/>
      <c r="C8" s="85" t="s">
        <v>221</v>
      </c>
      <c r="D8" s="83">
        <v>4957.2</v>
      </c>
      <c r="E8" s="83">
        <v>4992.8999999999996</v>
      </c>
      <c r="F8" s="83">
        <v>5084.5</v>
      </c>
      <c r="G8" s="83">
        <v>5691.6</v>
      </c>
      <c r="H8" s="83" t="s">
        <v>116</v>
      </c>
      <c r="I8" s="94" t="str">
        <f t="shared" si="1"/>
        <v>N/A</v>
      </c>
      <c r="J8" s="95">
        <f t="shared" si="2"/>
        <v>5181.5499999999993</v>
      </c>
      <c r="K8" s="94" t="str">
        <f t="shared" si="3"/>
        <v>N/A</v>
      </c>
      <c r="L8" s="78" t="s">
        <v>417</v>
      </c>
      <c r="M8" s="96" t="s">
        <v>215</v>
      </c>
    </row>
    <row r="9" spans="1:13" x14ac:dyDescent="0.3">
      <c r="A9" s="77" t="s">
        <v>222</v>
      </c>
      <c r="B9" s="78"/>
      <c r="C9" s="85" t="s">
        <v>221</v>
      </c>
      <c r="D9" s="83">
        <v>1022.7</v>
      </c>
      <c r="E9" s="83">
        <v>1231.3</v>
      </c>
      <c r="F9" s="83">
        <v>1296.5</v>
      </c>
      <c r="G9" s="83">
        <v>894.1</v>
      </c>
      <c r="H9" s="83" t="s">
        <v>116</v>
      </c>
      <c r="I9" s="94" t="str">
        <f t="shared" si="1"/>
        <v>N/A</v>
      </c>
      <c r="J9" s="95">
        <f t="shared" si="2"/>
        <v>1111.1500000000001</v>
      </c>
      <c r="K9" s="94" t="str">
        <f t="shared" si="3"/>
        <v>N/A</v>
      </c>
      <c r="L9" s="78" t="s">
        <v>417</v>
      </c>
      <c r="M9" s="96" t="s">
        <v>215</v>
      </c>
    </row>
    <row r="10" spans="1:13" x14ac:dyDescent="0.3">
      <c r="A10" s="77" t="s">
        <v>223</v>
      </c>
      <c r="B10" s="78"/>
      <c r="C10" s="79" t="s">
        <v>224</v>
      </c>
      <c r="D10" s="93">
        <v>75.365125474057933</v>
      </c>
      <c r="E10" s="93">
        <v>79.773278054837874</v>
      </c>
      <c r="F10" s="93">
        <v>68.462975710492671</v>
      </c>
      <c r="G10" s="93">
        <v>73.951085810668346</v>
      </c>
      <c r="H10" s="83" t="s">
        <v>116</v>
      </c>
      <c r="I10" s="94" t="str">
        <f t="shared" si="1"/>
        <v>N/A</v>
      </c>
      <c r="J10" s="95">
        <f t="shared" si="2"/>
        <v>74.388116262514217</v>
      </c>
      <c r="K10" s="94" t="str">
        <f t="shared" si="3"/>
        <v>N/A</v>
      </c>
      <c r="L10" s="78" t="s">
        <v>417</v>
      </c>
      <c r="M10" s="96" t="s">
        <v>215</v>
      </c>
    </row>
    <row r="11" spans="1:13" x14ac:dyDescent="0.3">
      <c r="A11" s="77" t="s">
        <v>225</v>
      </c>
      <c r="B11" s="78"/>
      <c r="C11" s="79" t="s">
        <v>224</v>
      </c>
      <c r="D11" s="93">
        <v>130.53681431504839</v>
      </c>
      <c r="E11" s="93">
        <v>122.14732396653943</v>
      </c>
      <c r="F11" s="93">
        <v>128.0370227535673</v>
      </c>
      <c r="G11" s="93">
        <v>135.89083995078849</v>
      </c>
      <c r="H11" s="83" t="s">
        <v>116</v>
      </c>
      <c r="I11" s="94" t="str">
        <f t="shared" si="1"/>
        <v>N/A</v>
      </c>
      <c r="J11" s="95">
        <f t="shared" si="2"/>
        <v>129.1530002464859</v>
      </c>
      <c r="K11" s="94" t="str">
        <f t="shared" si="3"/>
        <v>N/A</v>
      </c>
      <c r="L11" s="78" t="s">
        <v>417</v>
      </c>
      <c r="M11" s="96" t="s">
        <v>215</v>
      </c>
    </row>
    <row r="12" spans="1:13" x14ac:dyDescent="0.3">
      <c r="A12" s="158" t="s">
        <v>59</v>
      </c>
      <c r="B12" s="88" t="s">
        <v>60</v>
      </c>
      <c r="C12" s="79" t="s">
        <v>46</v>
      </c>
      <c r="D12" s="80">
        <v>138.33978400000001</v>
      </c>
      <c r="E12" s="80">
        <v>146.92478600000001</v>
      </c>
      <c r="F12" s="80">
        <v>166.03516500000001</v>
      </c>
      <c r="G12" s="80">
        <v>181.38229200000001</v>
      </c>
      <c r="H12" s="80">
        <v>114.640514</v>
      </c>
      <c r="I12" s="94">
        <f t="shared" si="1"/>
        <v>-0.36796192872014211</v>
      </c>
      <c r="J12" s="95">
        <f t="shared" si="2"/>
        <v>149.46450820000001</v>
      </c>
      <c r="K12" s="94">
        <f t="shared" si="3"/>
        <v>-0.23299172906922938</v>
      </c>
      <c r="L12" s="78" t="s">
        <v>61</v>
      </c>
      <c r="M12" s="97" t="s">
        <v>62</v>
      </c>
    </row>
    <row r="13" spans="1:13" x14ac:dyDescent="0.3">
      <c r="A13" s="158"/>
      <c r="B13" s="89" t="s">
        <v>65</v>
      </c>
      <c r="C13" s="79" t="s">
        <v>46</v>
      </c>
      <c r="D13" s="80">
        <v>110.707849</v>
      </c>
      <c r="E13" s="80">
        <v>127.26960099999999</v>
      </c>
      <c r="F13" s="80">
        <v>141.06328500000001</v>
      </c>
      <c r="G13" s="80">
        <v>157.328801</v>
      </c>
      <c r="H13" s="80">
        <v>74.473309</v>
      </c>
      <c r="I13" s="94">
        <f t="shared" si="1"/>
        <v>-0.52663906082904677</v>
      </c>
      <c r="J13" s="95">
        <f t="shared" si="2"/>
        <v>122.16856899999998</v>
      </c>
      <c r="K13" s="94">
        <f t="shared" si="3"/>
        <v>-0.39040532593944022</v>
      </c>
      <c r="L13" s="78" t="s">
        <v>61</v>
      </c>
      <c r="M13" s="97" t="s">
        <v>62</v>
      </c>
    </row>
    <row r="14" spans="1:13" x14ac:dyDescent="0.3">
      <c r="A14" s="158"/>
      <c r="B14" s="89" t="s">
        <v>226</v>
      </c>
      <c r="C14" s="79" t="s">
        <v>46</v>
      </c>
      <c r="D14" s="80">
        <v>2.9344760000000001</v>
      </c>
      <c r="E14" s="80">
        <v>2.2298939999999998</v>
      </c>
      <c r="F14" s="80">
        <v>4.9500849999999996</v>
      </c>
      <c r="G14" s="80">
        <v>5.4842500000000003</v>
      </c>
      <c r="H14" s="80">
        <v>14.915404000000001</v>
      </c>
      <c r="I14" s="94">
        <f t="shared" si="1"/>
        <v>1.7196798103660482</v>
      </c>
      <c r="J14" s="95">
        <f t="shared" si="2"/>
        <v>6.1028217999999992</v>
      </c>
      <c r="K14" s="94">
        <f t="shared" si="3"/>
        <v>1.444017618210645</v>
      </c>
      <c r="L14" s="78" t="s">
        <v>61</v>
      </c>
      <c r="M14" s="97" t="s">
        <v>62</v>
      </c>
    </row>
    <row r="15" spans="1:13" x14ac:dyDescent="0.3">
      <c r="A15" s="158"/>
      <c r="B15" s="89" t="s">
        <v>86</v>
      </c>
      <c r="C15" s="79" t="s">
        <v>46</v>
      </c>
      <c r="D15" s="80">
        <v>15.720196</v>
      </c>
      <c r="E15" s="80">
        <v>8.181203</v>
      </c>
      <c r="F15" s="80">
        <v>8.3387419999999999</v>
      </c>
      <c r="G15" s="80">
        <v>9.3894090000000006</v>
      </c>
      <c r="H15" s="80">
        <v>5.633222</v>
      </c>
      <c r="I15" s="94">
        <f t="shared" si="1"/>
        <v>-0.40004509335997618</v>
      </c>
      <c r="J15" s="95">
        <f t="shared" si="2"/>
        <v>9.4525544000000004</v>
      </c>
      <c r="K15" s="94">
        <f t="shared" si="3"/>
        <v>-0.40405294044115736</v>
      </c>
      <c r="L15" s="78" t="s">
        <v>61</v>
      </c>
      <c r="M15" s="97" t="s">
        <v>62</v>
      </c>
    </row>
    <row r="16" spans="1:13" x14ac:dyDescent="0.3">
      <c r="A16" s="77" t="s">
        <v>66</v>
      </c>
      <c r="B16" s="88" t="s">
        <v>60</v>
      </c>
      <c r="C16" s="79" t="s">
        <v>46</v>
      </c>
      <c r="D16" s="80">
        <v>120.19328539</v>
      </c>
      <c r="E16" s="80">
        <v>134.63360573000003</v>
      </c>
      <c r="F16" s="80">
        <v>135.98905991000001</v>
      </c>
      <c r="G16" s="80">
        <v>99.599217780000004</v>
      </c>
      <c r="H16" s="80">
        <v>115.03769393999998</v>
      </c>
      <c r="I16" s="94">
        <f t="shared" si="1"/>
        <v>0.15500599808023896</v>
      </c>
      <c r="J16" s="95">
        <f t="shared" si="2"/>
        <v>121.09057255</v>
      </c>
      <c r="K16" s="94">
        <f t="shared" si="3"/>
        <v>-4.9986373691483732E-2</v>
      </c>
      <c r="L16" s="78" t="s">
        <v>61</v>
      </c>
      <c r="M16" s="97" t="s">
        <v>62</v>
      </c>
    </row>
    <row r="17" spans="1:13" x14ac:dyDescent="0.3">
      <c r="A17" s="90" t="s">
        <v>67</v>
      </c>
      <c r="B17" s="91" t="s">
        <v>60</v>
      </c>
      <c r="C17" s="92" t="s">
        <v>46</v>
      </c>
      <c r="D17" s="80">
        <f>+D12-D16</f>
        <v>18.146498610000009</v>
      </c>
      <c r="E17" s="80">
        <f t="shared" ref="E17:H17" si="4">+E12-E16</f>
        <v>12.291180269999984</v>
      </c>
      <c r="F17" s="80">
        <f t="shared" si="4"/>
        <v>30.046105089999998</v>
      </c>
      <c r="G17" s="80">
        <f t="shared" si="4"/>
        <v>81.783074220000003</v>
      </c>
      <c r="H17" s="80">
        <f t="shared" si="4"/>
        <v>-0.39717993999998669</v>
      </c>
      <c r="I17" s="94">
        <f t="shared" si="1"/>
        <v>-1.0048565053807046</v>
      </c>
      <c r="J17" s="95">
        <f t="shared" si="2"/>
        <v>28.37393565</v>
      </c>
      <c r="K17" s="94">
        <f t="shared" si="3"/>
        <v>-1.01399805599404</v>
      </c>
      <c r="L17" s="78" t="s">
        <v>61</v>
      </c>
      <c r="M17" s="97" t="s">
        <v>62</v>
      </c>
    </row>
    <row r="18" spans="1:13" x14ac:dyDescent="0.3">
      <c r="A18" s="13" t="s">
        <v>68</v>
      </c>
    </row>
    <row r="19" spans="1:13" x14ac:dyDescent="0.3">
      <c r="A19" s="13" t="s">
        <v>227</v>
      </c>
    </row>
    <row r="20" spans="1:13" x14ac:dyDescent="0.3">
      <c r="A20" s="13" t="s">
        <v>69</v>
      </c>
    </row>
    <row r="21" spans="1:13" x14ac:dyDescent="0.3">
      <c r="A21" s="13" t="s">
        <v>228</v>
      </c>
    </row>
  </sheetData>
  <mergeCells count="1">
    <mergeCell ref="A12:A1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D150-6F1B-45FE-9B37-6676A2B5C291}">
  <dimension ref="A1:M19"/>
  <sheetViews>
    <sheetView workbookViewId="0"/>
  </sheetViews>
  <sheetFormatPr defaultRowHeight="14.4" x14ac:dyDescent="0.3"/>
  <cols>
    <col min="1" max="1" width="35.5546875" bestFit="1" customWidth="1"/>
    <col min="2" max="2" width="10.44140625" bestFit="1" customWidth="1"/>
    <col min="3" max="3" width="11.109375" bestFit="1" customWidth="1"/>
    <col min="9" max="11" width="10.6640625" customWidth="1"/>
    <col min="12" max="12" width="24" bestFit="1" customWidth="1"/>
  </cols>
  <sheetData>
    <row r="1" spans="1:13" x14ac:dyDescent="0.3">
      <c r="A1" s="122" t="s">
        <v>28</v>
      </c>
      <c r="B1" s="122"/>
      <c r="C1" s="122"/>
      <c r="D1" s="122"/>
      <c r="E1" s="122"/>
      <c r="F1" s="122"/>
      <c r="G1" s="122"/>
      <c r="H1" s="122"/>
      <c r="I1" s="122"/>
      <c r="J1" s="122"/>
      <c r="K1" s="122"/>
      <c r="L1" s="122"/>
      <c r="M1" s="122"/>
    </row>
    <row r="2" spans="1:13" x14ac:dyDescent="0.3">
      <c r="A2" s="123" t="s">
        <v>36</v>
      </c>
      <c r="B2" s="119" t="s">
        <v>37</v>
      </c>
      <c r="C2" s="124"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77" t="s">
        <v>214</v>
      </c>
      <c r="B3" s="78"/>
      <c r="C3" s="79" t="s">
        <v>46</v>
      </c>
      <c r="D3" s="80">
        <f>+SUM(D4:D5)</f>
        <v>153.9153</v>
      </c>
      <c r="E3" s="80">
        <f t="shared" ref="E3:F3" si="0">+SUM(E4:E5)</f>
        <v>180.79264300744967</v>
      </c>
      <c r="F3" s="80">
        <f t="shared" si="0"/>
        <v>187.29944753091996</v>
      </c>
      <c r="G3" s="80">
        <v>198.7</v>
      </c>
      <c r="H3" s="80">
        <v>202.5</v>
      </c>
      <c r="I3" s="81">
        <f t="shared" ref="I3:I15" si="1">IF(ISBLANK(H3),"N/A",IF(ISNA(H3/G3-1),"N/A",IF(ISERROR(H3/G3-1),"N/A",H3/G3-1)))</f>
        <v>1.9124308002013146E-2</v>
      </c>
      <c r="J3" s="82">
        <f t="shared" ref="J3:J15" si="2">IF(ISBLANK(H3),"",IF(ISNA(AVERAGE(D3:H3)),"N/A",IF(ISERROR(AVERAGE(D3:H3)),"N/A",AVERAGE(D3:H3))))</f>
        <v>184.64147810767395</v>
      </c>
      <c r="K3" s="81">
        <f t="shared" ref="K3:K15" si="3">IF(ISBLANK(H3),"",IF(ISNA(H3/AVERAGE(D3:H3)-1),"N/A",IF(ISERROR(H3/AVERAGE(D3:H3)-1),"N/A",H3/AVERAGE(D3:H3)-1)))</f>
        <v>9.6719989870920786E-2</v>
      </c>
      <c r="L3" s="83" t="s">
        <v>229</v>
      </c>
      <c r="M3" s="83"/>
    </row>
    <row r="4" spans="1:13" x14ac:dyDescent="0.3">
      <c r="A4" s="77" t="s">
        <v>230</v>
      </c>
      <c r="B4" s="78"/>
      <c r="C4" s="79" t="s">
        <v>46</v>
      </c>
      <c r="D4" s="80">
        <v>64.610299999999995</v>
      </c>
      <c r="E4" s="80">
        <v>78.442234999999997</v>
      </c>
      <c r="F4" s="80">
        <v>80.400627</v>
      </c>
      <c r="G4" s="80">
        <v>89.5</v>
      </c>
      <c r="H4" s="80">
        <v>98</v>
      </c>
      <c r="I4" s="81">
        <f t="shared" si="1"/>
        <v>9.4972067039106101E-2</v>
      </c>
      <c r="J4" s="82">
        <f t="shared" si="2"/>
        <v>82.190632399999998</v>
      </c>
      <c r="K4" s="81">
        <f t="shared" si="3"/>
        <v>0.19234999340387127</v>
      </c>
      <c r="L4" s="83" t="s">
        <v>415</v>
      </c>
      <c r="M4" s="84" t="s">
        <v>231</v>
      </c>
    </row>
    <row r="5" spans="1:13" x14ac:dyDescent="0.3">
      <c r="A5" s="77" t="s">
        <v>232</v>
      </c>
      <c r="B5" s="78"/>
      <c r="C5" s="79" t="s">
        <v>46</v>
      </c>
      <c r="D5" s="80">
        <v>89.305000000000007</v>
      </c>
      <c r="E5" s="80">
        <v>102.35040800744967</v>
      </c>
      <c r="F5" s="80">
        <v>106.89882053091998</v>
      </c>
      <c r="G5" s="80">
        <v>109.16981892588007</v>
      </c>
      <c r="H5" s="80">
        <v>104.46813911642619</v>
      </c>
      <c r="I5" s="81">
        <f t="shared" si="1"/>
        <v>-4.3067579077382567E-2</v>
      </c>
      <c r="J5" s="82">
        <f t="shared" si="2"/>
        <v>102.43843731613519</v>
      </c>
      <c r="K5" s="81">
        <f t="shared" si="3"/>
        <v>1.9813869222029767E-2</v>
      </c>
      <c r="L5" s="83" t="s">
        <v>414</v>
      </c>
      <c r="M5" s="83" t="s">
        <v>233</v>
      </c>
    </row>
    <row r="6" spans="1:13" x14ac:dyDescent="0.3">
      <c r="A6" s="77" t="s">
        <v>234</v>
      </c>
      <c r="B6" s="78"/>
      <c r="C6" s="85" t="s">
        <v>235</v>
      </c>
      <c r="D6" s="86">
        <v>5.5178659999999997</v>
      </c>
      <c r="E6" s="86">
        <v>5.9891009999999998</v>
      </c>
      <c r="F6" s="86">
        <v>6.2247890000000003</v>
      </c>
      <c r="G6" s="86">
        <v>5.6131399999999996</v>
      </c>
      <c r="H6" s="83" t="s">
        <v>116</v>
      </c>
      <c r="I6" s="81" t="str">
        <f t="shared" si="1"/>
        <v>N/A</v>
      </c>
      <c r="J6" s="82">
        <f t="shared" si="2"/>
        <v>5.8362239999999996</v>
      </c>
      <c r="K6" s="81" t="str">
        <f t="shared" si="3"/>
        <v>N/A</v>
      </c>
      <c r="L6" s="83" t="s">
        <v>415</v>
      </c>
      <c r="M6" s="84" t="s">
        <v>231</v>
      </c>
    </row>
    <row r="7" spans="1:13" x14ac:dyDescent="0.3">
      <c r="A7" s="77" t="s">
        <v>236</v>
      </c>
      <c r="B7" s="78"/>
      <c r="C7" s="85" t="s">
        <v>54</v>
      </c>
      <c r="D7" s="86">
        <v>4.8509399999999996</v>
      </c>
      <c r="E7" s="86">
        <v>4.5992380000000006</v>
      </c>
      <c r="F7" s="86">
        <v>4.694</v>
      </c>
      <c r="G7" s="86">
        <v>4.827</v>
      </c>
      <c r="H7" s="83" t="s">
        <v>116</v>
      </c>
      <c r="I7" s="81" t="str">
        <f t="shared" si="1"/>
        <v>N/A</v>
      </c>
      <c r="J7" s="82">
        <f t="shared" si="2"/>
        <v>4.7427945000000005</v>
      </c>
      <c r="K7" s="81" t="str">
        <f t="shared" si="3"/>
        <v>N/A</v>
      </c>
      <c r="L7" s="83" t="s">
        <v>414</v>
      </c>
      <c r="M7" s="83" t="s">
        <v>233</v>
      </c>
    </row>
    <row r="8" spans="1:13" x14ac:dyDescent="0.3">
      <c r="A8" s="77" t="s">
        <v>237</v>
      </c>
      <c r="B8" s="78"/>
      <c r="C8" s="85" t="s">
        <v>54</v>
      </c>
      <c r="D8" s="86">
        <v>10.574399999999999</v>
      </c>
      <c r="E8" s="86">
        <v>11.311999</v>
      </c>
      <c r="F8" s="86">
        <v>12.451287000000001</v>
      </c>
      <c r="G8" s="86">
        <v>11.642189</v>
      </c>
      <c r="H8" s="83" t="s">
        <v>116</v>
      </c>
      <c r="I8" s="81" t="str">
        <f t="shared" si="1"/>
        <v>N/A</v>
      </c>
      <c r="J8" s="82">
        <f t="shared" si="2"/>
        <v>11.49496875</v>
      </c>
      <c r="K8" s="81" t="str">
        <f t="shared" si="3"/>
        <v>N/A</v>
      </c>
      <c r="L8" s="83" t="s">
        <v>414</v>
      </c>
      <c r="M8" s="83" t="s">
        <v>233</v>
      </c>
    </row>
    <row r="9" spans="1:13" x14ac:dyDescent="0.3">
      <c r="A9" s="77" t="s">
        <v>238</v>
      </c>
      <c r="B9" s="78"/>
      <c r="C9" s="79" t="s">
        <v>125</v>
      </c>
      <c r="D9" s="87">
        <v>110.75</v>
      </c>
      <c r="E9" s="87">
        <v>113.02500000000001</v>
      </c>
      <c r="F9" s="87">
        <v>116</v>
      </c>
      <c r="G9" s="87">
        <v>119.1</v>
      </c>
      <c r="H9" s="87">
        <v>120.77499999999999</v>
      </c>
      <c r="I9" s="81">
        <f t="shared" si="1"/>
        <v>1.4063811922753855E-2</v>
      </c>
      <c r="J9" s="82">
        <f t="shared" si="2"/>
        <v>115.92999999999999</v>
      </c>
      <c r="K9" s="81">
        <f t="shared" si="3"/>
        <v>4.1792460967825296E-2</v>
      </c>
      <c r="L9" s="83" t="s">
        <v>411</v>
      </c>
      <c r="M9" s="84" t="s">
        <v>126</v>
      </c>
    </row>
    <row r="10" spans="1:13" x14ac:dyDescent="0.3">
      <c r="A10" s="158" t="s">
        <v>59</v>
      </c>
      <c r="B10" s="88" t="s">
        <v>60</v>
      </c>
      <c r="C10" s="79" t="s">
        <v>46</v>
      </c>
      <c r="D10" s="80">
        <v>22.508899</v>
      </c>
      <c r="E10" s="80">
        <v>21.076747000000001</v>
      </c>
      <c r="F10" s="80">
        <v>24.127068999999999</v>
      </c>
      <c r="G10" s="80">
        <v>21.803750999999998</v>
      </c>
      <c r="H10" s="80">
        <v>28.931595999999999</v>
      </c>
      <c r="I10" s="81">
        <f t="shared" si="1"/>
        <v>0.32690911761008468</v>
      </c>
      <c r="J10" s="82">
        <f t="shared" si="2"/>
        <v>23.689612400000001</v>
      </c>
      <c r="K10" s="81">
        <f t="shared" si="3"/>
        <v>0.2212777276170208</v>
      </c>
      <c r="L10" s="83" t="s">
        <v>61</v>
      </c>
      <c r="M10" s="84" t="s">
        <v>62</v>
      </c>
    </row>
    <row r="11" spans="1:13" x14ac:dyDescent="0.3">
      <c r="A11" s="158"/>
      <c r="B11" s="89" t="s">
        <v>73</v>
      </c>
      <c r="C11" s="79" t="s">
        <v>46</v>
      </c>
      <c r="D11" s="80">
        <v>11.347802</v>
      </c>
      <c r="E11" s="80">
        <v>9.8434059999999999</v>
      </c>
      <c r="F11" s="80">
        <v>11.376431999999999</v>
      </c>
      <c r="G11" s="80">
        <v>9.4810359999999996</v>
      </c>
      <c r="H11" s="80">
        <v>9.9273500000000006</v>
      </c>
      <c r="I11" s="81">
        <f t="shared" si="1"/>
        <v>4.7074391448360897E-2</v>
      </c>
      <c r="J11" s="82">
        <f t="shared" si="2"/>
        <v>10.395205200000001</v>
      </c>
      <c r="K11" s="81">
        <f t="shared" si="3"/>
        <v>-4.5006826801264221E-2</v>
      </c>
      <c r="L11" s="83" t="s">
        <v>61</v>
      </c>
      <c r="M11" s="84" t="s">
        <v>62</v>
      </c>
    </row>
    <row r="12" spans="1:13" x14ac:dyDescent="0.3">
      <c r="A12" s="158"/>
      <c r="B12" s="89" t="s">
        <v>136</v>
      </c>
      <c r="C12" s="79" t="s">
        <v>46</v>
      </c>
      <c r="D12" s="80">
        <v>0.90113100000000002</v>
      </c>
      <c r="E12" s="80">
        <v>1.3497699999999999</v>
      </c>
      <c r="F12" s="80">
        <v>2.2187269999999999</v>
      </c>
      <c r="G12" s="80">
        <v>3.1938059999999999</v>
      </c>
      <c r="H12" s="80">
        <v>5.8365840000000002</v>
      </c>
      <c r="I12" s="81">
        <f t="shared" si="1"/>
        <v>0.82746979622431671</v>
      </c>
      <c r="J12" s="82">
        <f t="shared" si="2"/>
        <v>2.7000036000000001</v>
      </c>
      <c r="K12" s="81">
        <f t="shared" si="3"/>
        <v>1.1616948955179169</v>
      </c>
      <c r="L12" s="83" t="s">
        <v>61</v>
      </c>
      <c r="M12" s="84" t="s">
        <v>62</v>
      </c>
    </row>
    <row r="13" spans="1:13" x14ac:dyDescent="0.3">
      <c r="A13" s="158"/>
      <c r="B13" s="89" t="s">
        <v>65</v>
      </c>
      <c r="C13" s="79" t="s">
        <v>46</v>
      </c>
      <c r="D13" s="80">
        <v>0.19317599999999999</v>
      </c>
      <c r="E13" s="80">
        <v>2.9773550000000002</v>
      </c>
      <c r="F13" s="80">
        <v>5.1721979999999999</v>
      </c>
      <c r="G13" s="80">
        <v>5.6472160000000002</v>
      </c>
      <c r="H13" s="80">
        <v>5.5677510000000003</v>
      </c>
      <c r="I13" s="81">
        <f t="shared" si="1"/>
        <v>-1.4071535425597248E-2</v>
      </c>
      <c r="J13" s="82">
        <f t="shared" si="2"/>
        <v>3.9115392</v>
      </c>
      <c r="K13" s="81">
        <f t="shared" si="3"/>
        <v>0.42341689941391869</v>
      </c>
      <c r="L13" s="83" t="s">
        <v>61</v>
      </c>
      <c r="M13" s="84" t="s">
        <v>62</v>
      </c>
    </row>
    <row r="14" spans="1:13" x14ac:dyDescent="0.3">
      <c r="A14" s="77" t="s">
        <v>66</v>
      </c>
      <c r="B14" s="88" t="s">
        <v>60</v>
      </c>
      <c r="C14" s="79" t="s">
        <v>46</v>
      </c>
      <c r="D14" s="80">
        <v>796.81420062999996</v>
      </c>
      <c r="E14" s="80">
        <v>831.22520962999999</v>
      </c>
      <c r="F14" s="80">
        <v>869.88150496000003</v>
      </c>
      <c r="G14" s="80">
        <v>826.96238421999999</v>
      </c>
      <c r="H14" s="80">
        <v>815.81567428999995</v>
      </c>
      <c r="I14" s="81">
        <f t="shared" si="1"/>
        <v>-1.3479101519851766E-2</v>
      </c>
      <c r="J14" s="82">
        <f t="shared" si="2"/>
        <v>828.13979474600001</v>
      </c>
      <c r="K14" s="81">
        <f t="shared" si="3"/>
        <v>-1.4881690910385492E-2</v>
      </c>
      <c r="L14" s="83" t="s">
        <v>61</v>
      </c>
      <c r="M14" s="84" t="s">
        <v>62</v>
      </c>
    </row>
    <row r="15" spans="1:13" x14ac:dyDescent="0.3">
      <c r="A15" s="90" t="s">
        <v>67</v>
      </c>
      <c r="B15" s="91" t="s">
        <v>60</v>
      </c>
      <c r="C15" s="92" t="s">
        <v>46</v>
      </c>
      <c r="D15" s="80">
        <f t="shared" ref="D15:G15" si="4">+D10-D14</f>
        <v>-774.30530162999992</v>
      </c>
      <c r="E15" s="80">
        <f t="shared" si="4"/>
        <v>-810.14846263000004</v>
      </c>
      <c r="F15" s="80">
        <f t="shared" si="4"/>
        <v>-845.75443596000002</v>
      </c>
      <c r="G15" s="80">
        <f t="shared" si="4"/>
        <v>-805.15863321999996</v>
      </c>
      <c r="H15" s="80">
        <f>+H10-H14</f>
        <v>-786.88407828999993</v>
      </c>
      <c r="I15" s="81">
        <f t="shared" si="1"/>
        <v>-2.2696837835441408E-2</v>
      </c>
      <c r="J15" s="82">
        <f t="shared" si="2"/>
        <v>-804.45018234599991</v>
      </c>
      <c r="K15" s="81">
        <f t="shared" si="3"/>
        <v>-2.183616144479239E-2</v>
      </c>
      <c r="L15" s="83" t="s">
        <v>61</v>
      </c>
      <c r="M15" s="84" t="s">
        <v>62</v>
      </c>
    </row>
    <row r="16" spans="1:13" x14ac:dyDescent="0.3">
      <c r="A16" s="13" t="s">
        <v>68</v>
      </c>
    </row>
    <row r="17" spans="1:1" x14ac:dyDescent="0.3">
      <c r="A17" s="13" t="s">
        <v>69</v>
      </c>
    </row>
    <row r="18" spans="1:1" x14ac:dyDescent="0.3">
      <c r="A18" s="13" t="s">
        <v>228</v>
      </c>
    </row>
    <row r="19" spans="1:1" x14ac:dyDescent="0.3">
      <c r="A19" s="13" t="s">
        <v>130</v>
      </c>
    </row>
  </sheetData>
  <mergeCells count="1">
    <mergeCell ref="A10:A1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9A92-F2AC-4133-BCF3-74496D1D5E22}">
  <dimension ref="A1:L46"/>
  <sheetViews>
    <sheetView workbookViewId="0"/>
  </sheetViews>
  <sheetFormatPr defaultRowHeight="14.4" x14ac:dyDescent="0.3"/>
  <cols>
    <col min="1" max="1" width="43" customWidth="1"/>
    <col min="3" max="3" width="11.109375" bestFit="1" customWidth="1"/>
    <col min="4" max="7" width="11" bestFit="1" customWidth="1"/>
    <col min="9" max="9" width="10" bestFit="1" customWidth="1"/>
    <col min="11" max="11" width="24" bestFit="1" customWidth="1"/>
  </cols>
  <sheetData>
    <row r="1" spans="1:12" ht="46.8" x14ac:dyDescent="0.3">
      <c r="A1" s="5" t="s">
        <v>425</v>
      </c>
      <c r="B1" s="5" t="s">
        <v>38</v>
      </c>
      <c r="C1" s="5" t="s">
        <v>239</v>
      </c>
      <c r="D1" s="5" t="s">
        <v>240</v>
      </c>
      <c r="E1" s="5" t="s">
        <v>241</v>
      </c>
      <c r="F1" s="5" t="s">
        <v>242</v>
      </c>
      <c r="G1" s="5" t="s">
        <v>39</v>
      </c>
      <c r="H1" s="40" t="s">
        <v>40</v>
      </c>
      <c r="I1" s="19" t="s">
        <v>139</v>
      </c>
      <c r="J1" s="40" t="s">
        <v>42</v>
      </c>
      <c r="K1" s="9" t="s">
        <v>43</v>
      </c>
      <c r="L1" s="9" t="s">
        <v>44</v>
      </c>
    </row>
    <row r="2" spans="1:12" x14ac:dyDescent="0.3">
      <c r="A2" s="9" t="s">
        <v>243</v>
      </c>
      <c r="B2" s="72" t="s">
        <v>46</v>
      </c>
      <c r="C2" s="68">
        <v>6444.2</v>
      </c>
      <c r="D2" s="68">
        <v>4827.9212198999994</v>
      </c>
      <c r="E2" s="68">
        <v>2843.3</v>
      </c>
      <c r="F2" s="68">
        <v>2071.3000000000002</v>
      </c>
      <c r="G2" s="68">
        <v>8038.4013073225151</v>
      </c>
      <c r="H2" s="69">
        <f>IF(ISBLANK(G2),"N/A",IF(ISNA(G2/F2-1),"N/A",IF(ISERROR(G2/F2-1),"N/A",G2/F2-1)))</f>
        <v>2.8808484079189469</v>
      </c>
      <c r="I2" s="70">
        <f>IF(ISBLANK(G2),"",IF(ISNA(AVERAGE(C2:G2)),"N/A",IF(ISERROR(AVERAGE(C2:G2)),"N/A",AVERAGE(C2:G2))))</f>
        <v>4845.0245054445022</v>
      </c>
      <c r="J2" s="69">
        <f>IF(ISBLANK(G2),"",IF(ISNA(G2/AVERAGE(C2:G2)-1),"N/A",IF(ISERROR(G2/AVERAGE(C2:G2)-1),"N/A",G2/AVERAGE(C2:G2)-1)))</f>
        <v>0.65910436537307859</v>
      </c>
      <c r="K2" s="13"/>
      <c r="L2" s="13"/>
    </row>
    <row r="3" spans="1:12" x14ac:dyDescent="0.3">
      <c r="A3" s="22" t="s">
        <v>9</v>
      </c>
      <c r="B3" s="73" t="s">
        <v>46</v>
      </c>
      <c r="C3" s="74">
        <f>+Wheat!D3</f>
        <v>2259.7349690000001</v>
      </c>
      <c r="D3" s="74">
        <f>+Wheat!E3</f>
        <v>1368.8539899</v>
      </c>
      <c r="E3" s="74">
        <f>+Wheat!F3</f>
        <v>751.61956699999996</v>
      </c>
      <c r="F3" s="74">
        <f>+Wheat!G3</f>
        <v>648.93154514999992</v>
      </c>
      <c r="G3" s="74">
        <f>+Wheat!H3</f>
        <v>4158.5044819946506</v>
      </c>
      <c r="H3" s="75">
        <f t="shared" ref="H3:H37" si="0">IF(ISBLANK(G3),"N/A",IF(ISNA(G3/F3-1),"N/A",IF(ISERROR(G3/F3-1),"N/A",G3/F3-1)))</f>
        <v>5.4082329069600341</v>
      </c>
      <c r="I3" s="76">
        <f t="shared" ref="I3:I36" si="1">IF(ISBLANK(G3),"",IF(ISNA(AVERAGE(C3:G3)),"N/A",IF(ISERROR(AVERAGE(C3:G3)),"N/A",AVERAGE(C3:G3))))</f>
        <v>1837.5289106089301</v>
      </c>
      <c r="J3" s="75">
        <f t="shared" ref="J3:J37" si="2">IF(ISBLANK(G3),"",IF(ISNA(G3/AVERAGE(C3:G3)-1),"N/A",IF(ISERROR(G3/AVERAGE(C3:G3)-1),"N/A",G3/AVERAGE(C3:G3)-1)))</f>
        <v>1.2630960840864174</v>
      </c>
      <c r="K3" s="71" t="str">
        <f>+Wheat!L3</f>
        <v>ABS (2021a) + DPI (2021e)</v>
      </c>
      <c r="L3" s="71" t="str">
        <f>+Wheat!M3</f>
        <v>Australian Bureau of Statistics (2021). 7503.0 Value of Agricultural Commodities Produced, Australia 2019-20. Last accessed September 2021. 
&lt;http://www.abs.gov.au/ausstats/abs@.nsf/mf/7503.0&gt;</v>
      </c>
    </row>
    <row r="4" spans="1:12" x14ac:dyDescent="0.3">
      <c r="A4" s="22" t="s">
        <v>10</v>
      </c>
      <c r="B4" s="73" t="s">
        <v>46</v>
      </c>
      <c r="C4" s="74">
        <f>+Barley!D3</f>
        <v>600.77303170000005</v>
      </c>
      <c r="D4" s="74">
        <f>+Barley!E3</f>
        <v>340.18225279000001</v>
      </c>
      <c r="E4" s="74">
        <f>+Barley!F3</f>
        <v>327.2515047</v>
      </c>
      <c r="F4" s="74">
        <f>+Barley!G3</f>
        <v>284.46834302999997</v>
      </c>
      <c r="G4" s="74">
        <f>+Barley!H3</f>
        <v>768.74564365297408</v>
      </c>
      <c r="H4" s="75">
        <f t="shared" si="0"/>
        <v>1.7023943524425929</v>
      </c>
      <c r="I4" s="76">
        <f t="shared" si="1"/>
        <v>464.28415517459479</v>
      </c>
      <c r="J4" s="75">
        <f t="shared" si="2"/>
        <v>0.65576540806973282</v>
      </c>
      <c r="K4" s="71" t="str">
        <f>+Barley!L3</f>
        <v>ABS (2021a) + DPI (2021e)</v>
      </c>
      <c r="L4" s="71" t="str">
        <f>+Barley!M3</f>
        <v>Australian Bureau of Statistics (2021). 7503.0 Value of Agricultural Commodities Produced, Australia 2019-20. Last accessed September 2021. 
&lt;http://www.abs.gov.au/ausstats/abs@.nsf/mf/7503.0&gt;</v>
      </c>
    </row>
    <row r="5" spans="1:12" x14ac:dyDescent="0.3">
      <c r="A5" s="22" t="s">
        <v>11</v>
      </c>
      <c r="B5" s="73" t="s">
        <v>46</v>
      </c>
      <c r="C5" s="74">
        <f>+Rice!D3</f>
        <v>252.15352869999998</v>
      </c>
      <c r="D5" s="74">
        <f>+Rice!E3</f>
        <v>243.04427555000001</v>
      </c>
      <c r="E5" s="74">
        <f>+Rice!F3</f>
        <v>31.41166252</v>
      </c>
      <c r="F5" s="74">
        <f>+Rice!G3</f>
        <v>35.48134992</v>
      </c>
      <c r="G5" s="74">
        <f>+Rice!H3</f>
        <v>184.3</v>
      </c>
      <c r="H5" s="75">
        <f t="shared" si="0"/>
        <v>4.1942781324707843</v>
      </c>
      <c r="I5" s="76">
        <v>154.97999999999999</v>
      </c>
      <c r="J5" s="75">
        <f t="shared" si="2"/>
        <v>0.23460790164401013</v>
      </c>
      <c r="K5" s="71" t="str">
        <f>+Rice!L3</f>
        <v>ABS (2021a) + DPI (2021e)</v>
      </c>
      <c r="L5" s="71" t="str">
        <f>+Rice!M3</f>
        <v>Australian Bureau of Statistics (2021). 7503.0 Value of Agricultural Commodities Produced, Australia 2019-20. Last accessed September 2021. 
&lt;http://www.abs.gov.au/ausstats/abs@.nsf/mf/7503.0&gt;</v>
      </c>
    </row>
    <row r="6" spans="1:12" x14ac:dyDescent="0.3">
      <c r="A6" s="22" t="s">
        <v>244</v>
      </c>
      <c r="B6" s="73" t="s">
        <v>46</v>
      </c>
      <c r="C6" s="74">
        <f>+'Coarse Grains'!D3</f>
        <v>308.69937397000001</v>
      </c>
      <c r="D6" s="74">
        <f>+'Coarse Grains'!E3</f>
        <v>217.44349231999999</v>
      </c>
      <c r="E6" s="74">
        <f>+'Coarse Grains'!F3</f>
        <v>194.13288906</v>
      </c>
      <c r="F6" s="74">
        <f>+'Coarse Grains'!G3</f>
        <v>152.51688572999998</v>
      </c>
      <c r="G6" s="74">
        <f>+'Coarse Grains'!H3</f>
        <v>339.69027027601391</v>
      </c>
      <c r="H6" s="75">
        <f t="shared" si="0"/>
        <v>1.2272305695866765</v>
      </c>
      <c r="I6" s="76">
        <f t="shared" si="1"/>
        <v>242.49658227120281</v>
      </c>
      <c r="J6" s="75">
        <f t="shared" si="2"/>
        <v>0.40080436224916283</v>
      </c>
      <c r="K6" s="71" t="str">
        <f>+'Coarse Grains'!L3</f>
        <v>ABS (2021a) + DPI (2021e)</v>
      </c>
      <c r="L6" s="71" t="str">
        <f>+'Coarse Grains'!M3</f>
        <v>Australian Bureau of Statistics (2021). 7503.0 Value of Agricultural Commodities Produced, Australia 2019-20. Last accessed September 2021. 
&lt;http://www.abs.gov.au/ausstats/abs@.nsf/mf/7503.0&gt;</v>
      </c>
    </row>
    <row r="7" spans="1:12" x14ac:dyDescent="0.3">
      <c r="A7" s="22" t="s">
        <v>13</v>
      </c>
      <c r="B7" s="73" t="s">
        <v>46</v>
      </c>
      <c r="C7" s="74">
        <f>+Pulses!D3</f>
        <v>817.70248604000005</v>
      </c>
      <c r="D7" s="74">
        <f>+Pulses!E3</f>
        <v>258.43276026000001</v>
      </c>
      <c r="E7" s="74">
        <f>+Pulses!F3</f>
        <v>71.787893370000006</v>
      </c>
      <c r="F7" s="74">
        <f>+Pulses!G3</f>
        <v>57.266532670000004</v>
      </c>
      <c r="G7" s="74">
        <f>+Pulses!H3</f>
        <v>359.32060360622387</v>
      </c>
      <c r="H7" s="75">
        <f t="shared" si="0"/>
        <v>5.274530460519042</v>
      </c>
      <c r="I7" s="76">
        <f t="shared" si="1"/>
        <v>312.90205518924483</v>
      </c>
      <c r="J7" s="75">
        <f t="shared" si="2"/>
        <v>0.14834849323346511</v>
      </c>
      <c r="K7" s="71" t="str">
        <f>+Pulses!L3</f>
        <v>ABS (2021a) + DPI (2021e)</v>
      </c>
      <c r="L7" s="71" t="str">
        <f>+Pulses!M3</f>
        <v>Australian Bureau of Statistics (2021). 7503.0 Value of Agricultural Commodities Produced, Australia 2019-20. Last accessed September 2021. 
&lt;http://www.abs.gov.au/ausstats/abs@.nsf/mf/7503.0&gt;</v>
      </c>
    </row>
    <row r="8" spans="1:12" x14ac:dyDescent="0.3">
      <c r="A8" s="22" t="s">
        <v>14</v>
      </c>
      <c r="B8" s="73" t="s">
        <v>46</v>
      </c>
      <c r="C8" s="74">
        <f>+Oilseeds!D3</f>
        <v>714.50016290999997</v>
      </c>
      <c r="D8" s="74">
        <f>+Oilseeds!E3</f>
        <v>487.99958887999998</v>
      </c>
      <c r="E8" s="74">
        <f>+Oilseeds!F3</f>
        <v>156.67385240999999</v>
      </c>
      <c r="F8" s="74">
        <f>+Oilseeds!G3</f>
        <v>134.59418722000001</v>
      </c>
      <c r="G8" s="74">
        <f>+Oilseeds!H3</f>
        <v>844.33886516849054</v>
      </c>
      <c r="H8" s="75">
        <f t="shared" si="0"/>
        <v>5.2732193908818825</v>
      </c>
      <c r="I8" s="76">
        <f t="shared" si="1"/>
        <v>467.62133131769804</v>
      </c>
      <c r="J8" s="75">
        <f t="shared" si="2"/>
        <v>0.80560382647483153</v>
      </c>
      <c r="K8" s="71" t="str">
        <f>+Oilseeds!L3</f>
        <v>ABS (2021a) + DPI (2021e)</v>
      </c>
      <c r="L8" s="71" t="str">
        <f>+Oilseeds!M3</f>
        <v>Australian Bureau of Statistics (2021). 7503.0 Value of Agricultural Commodities Produced, Australia 2019-20. Last accessed September 2021. 
&lt;http://www.abs.gov.au/ausstats/abs@.nsf/mf/7503.0&gt;</v>
      </c>
    </row>
    <row r="9" spans="1:12" x14ac:dyDescent="0.3">
      <c r="A9" s="22" t="s">
        <v>15</v>
      </c>
      <c r="B9" s="73" t="s">
        <v>46</v>
      </c>
      <c r="C9" s="74">
        <f>+'Cotton Lint'!D3</f>
        <v>1059.4663880000001</v>
      </c>
      <c r="D9" s="74">
        <f>+'Cotton Lint'!E3</f>
        <v>1628.7418164999999</v>
      </c>
      <c r="E9" s="74">
        <f>+'Cotton Lint'!F3</f>
        <v>849.24755063999999</v>
      </c>
      <c r="F9" s="74">
        <f>+'Cotton Lint'!G3</f>
        <v>175.3822188</v>
      </c>
      <c r="G9" s="74">
        <f>+'Cotton Lint'!H3</f>
        <v>847.19904962701719</v>
      </c>
      <c r="H9" s="75">
        <f t="shared" si="0"/>
        <v>3.8305869056950099</v>
      </c>
      <c r="I9" s="76">
        <f t="shared" si="1"/>
        <v>912.00740471340339</v>
      </c>
      <c r="J9" s="75">
        <f t="shared" si="2"/>
        <v>-7.1061215897421426E-2</v>
      </c>
      <c r="K9" s="71" t="str">
        <f>+'Cotton Lint'!L3</f>
        <v>ABS (2021a) + DPI (2021e)</v>
      </c>
      <c r="L9" s="71" t="str">
        <f>+'Cotton Lint'!M3</f>
        <v>Australian Bureau of Statistics (2021). 7503.0 Value of Agricultural Commodities Produced, Australia 2019-20. Last accessed September 2021. 
&lt;http://www.abs.gov.au/ausstats/abs@.nsf/mf/7503.0&gt;</v>
      </c>
    </row>
    <row r="10" spans="1:12" x14ac:dyDescent="0.3">
      <c r="A10" s="22" t="s">
        <v>245</v>
      </c>
      <c r="B10" s="73" t="s">
        <v>46</v>
      </c>
      <c r="C10" s="74">
        <f>+Sugarcane!D3</f>
        <v>97.194976199999999</v>
      </c>
      <c r="D10" s="74">
        <f>+Sugarcane!E3</f>
        <v>85.097000010000002</v>
      </c>
      <c r="E10" s="74">
        <f>+Sugarcane!F3</f>
        <v>72.715206010000003</v>
      </c>
      <c r="F10" s="74">
        <f>+Sugarcane!G3</f>
        <v>65.325936999999996</v>
      </c>
      <c r="G10" s="74">
        <f>+Sugarcane!H3</f>
        <v>73.602392997145074</v>
      </c>
      <c r="H10" s="75">
        <f t="shared" si="0"/>
        <v>0.12669479194986644</v>
      </c>
      <c r="I10" s="76">
        <f t="shared" si="1"/>
        <v>78.787102443429006</v>
      </c>
      <c r="J10" s="75">
        <f t="shared" si="2"/>
        <v>-6.5806576019300511E-2</v>
      </c>
      <c r="K10" s="71" t="str">
        <f>+Sugarcane!L3</f>
        <v>ABS (2021a) + DPI (2021e)</v>
      </c>
      <c r="L10" s="71" t="str">
        <f>+Sugarcane!M3</f>
        <v>Australian Bureau of Statistics (2021). 7503.0 Value of Agricultural Commodities Produced, Australia 2019-20. Last accessed September 2021. 
&lt;http://www.abs.gov.au/ausstats/abs@.nsf/mf/7503.0&gt;</v>
      </c>
    </row>
    <row r="11" spans="1:12" x14ac:dyDescent="0.3">
      <c r="A11" s="22" t="s">
        <v>246</v>
      </c>
      <c r="B11" s="73" t="s">
        <v>46</v>
      </c>
      <c r="C11" s="74">
        <v>333.9</v>
      </c>
      <c r="D11" s="74">
        <v>198.12604369000002</v>
      </c>
      <c r="E11" s="74">
        <v>388.5</v>
      </c>
      <c r="F11" s="74">
        <v>517.4</v>
      </c>
      <c r="G11" s="74">
        <v>462.7</v>
      </c>
      <c r="H11" s="75">
        <f t="shared" si="0"/>
        <v>-0.10572091225357561</v>
      </c>
      <c r="I11" s="76">
        <v>380.1</v>
      </c>
      <c r="J11" s="75">
        <f t="shared" si="2"/>
        <v>0.21723050553828016</v>
      </c>
      <c r="K11" s="71"/>
      <c r="L11" s="71"/>
    </row>
    <row r="12" spans="1:12" x14ac:dyDescent="0.3">
      <c r="A12" s="9" t="s">
        <v>247</v>
      </c>
      <c r="B12" s="72" t="s">
        <v>46</v>
      </c>
      <c r="C12" s="68">
        <v>1952.9</v>
      </c>
      <c r="D12" s="68">
        <v>1934.0933443500001</v>
      </c>
      <c r="E12" s="68">
        <f t="shared" ref="E12" si="3">+SUM(E13:E16)</f>
        <v>2188.1185217100001</v>
      </c>
      <c r="F12" s="68">
        <v>2261.1</v>
      </c>
      <c r="G12" s="68">
        <v>2285.8000000000002</v>
      </c>
      <c r="H12" s="69">
        <f t="shared" si="0"/>
        <v>1.0923886603865451E-2</v>
      </c>
      <c r="I12" s="70">
        <f t="shared" si="1"/>
        <v>2124.4023732120004</v>
      </c>
      <c r="J12" s="69">
        <f t="shared" si="2"/>
        <v>7.59731907774015E-2</v>
      </c>
      <c r="K12" s="13"/>
      <c r="L12" s="13"/>
    </row>
    <row r="13" spans="1:12" x14ac:dyDescent="0.3">
      <c r="A13" s="22" t="s">
        <v>248</v>
      </c>
      <c r="B13" s="73" t="s">
        <v>46</v>
      </c>
      <c r="C13" s="74">
        <f>+Horticulture!D4</f>
        <v>809.1</v>
      </c>
      <c r="D13" s="74">
        <v>737.71278081000003</v>
      </c>
      <c r="E13" s="74">
        <f>+Horticulture!F4</f>
        <v>933.2</v>
      </c>
      <c r="F13" s="74">
        <f>+Horticulture!G4</f>
        <v>1067.2</v>
      </c>
      <c r="G13" s="74">
        <f>+Horticulture!H4</f>
        <v>1056.7</v>
      </c>
      <c r="H13" s="75">
        <f t="shared" si="0"/>
        <v>-9.8388305847076918E-3</v>
      </c>
      <c r="I13" s="76">
        <v>920.8</v>
      </c>
      <c r="J13" s="75">
        <f t="shared" si="2"/>
        <v>0.14761079358902096</v>
      </c>
      <c r="K13" s="71" t="str">
        <f>+Horticulture!L4</f>
        <v>ABS (2021a) + DPI (2021e)</v>
      </c>
      <c r="L13" s="71" t="str">
        <f>+Horticulture!M4</f>
        <v>Australian Bureau of Statistics (2021). 7503.0 Value of Agricultural Commodities Produced, Australia 2019-20. Last accessed September 2021. 
&lt;http://www.abs.gov.au/ausstats/abs@.nsf/mf/7503.0&gt;</v>
      </c>
    </row>
    <row r="14" spans="1:12" x14ac:dyDescent="0.3">
      <c r="A14" s="22" t="s">
        <v>249</v>
      </c>
      <c r="B14" s="73" t="s">
        <v>46</v>
      </c>
      <c r="C14" s="74">
        <f>+Horticulture!D5</f>
        <v>507.4</v>
      </c>
      <c r="D14" s="74">
        <v>497.59218783</v>
      </c>
      <c r="E14" s="74">
        <f>+Horticulture!F5</f>
        <v>494.6</v>
      </c>
      <c r="F14" s="74">
        <f>+Horticulture!G5</f>
        <v>427.2</v>
      </c>
      <c r="G14" s="74">
        <f>+Horticulture!H5</f>
        <v>430.2</v>
      </c>
      <c r="H14" s="75">
        <f t="shared" si="0"/>
        <v>7.0224719101124045E-3</v>
      </c>
      <c r="I14" s="76">
        <f t="shared" si="1"/>
        <v>471.39843756600004</v>
      </c>
      <c r="J14" s="75">
        <f t="shared" si="2"/>
        <v>-8.7396211533331436E-2</v>
      </c>
      <c r="K14" s="71" t="str">
        <f>+Horticulture!L5</f>
        <v>ABS (2021a) + DPI (2021e)</v>
      </c>
      <c r="L14" s="71" t="str">
        <f>+Horticulture!M5</f>
        <v>Australian Bureau of Statistics (2021). 7503.0 Value of Agricultural Commodities Produced, Australia 2019-20. Last accessed September 2021. 
&lt;http://www.abs.gov.au/ausstats/abs@.nsf/mf/7503.0&gt;</v>
      </c>
    </row>
    <row r="15" spans="1:12" x14ac:dyDescent="0.3">
      <c r="A15" s="22" t="s">
        <v>250</v>
      </c>
      <c r="B15" s="73" t="s">
        <v>46</v>
      </c>
      <c r="C15" s="74">
        <f>+Horticulture!D6</f>
        <v>449.8</v>
      </c>
      <c r="D15" s="74">
        <v>471.67267089000001</v>
      </c>
      <c r="E15" s="74">
        <f>+Horticulture!F6</f>
        <v>523.20000000000005</v>
      </c>
      <c r="F15" s="74">
        <f>+Horticulture!G6</f>
        <v>539.5</v>
      </c>
      <c r="G15" s="74">
        <f>+Horticulture!H6</f>
        <v>543.70000000000005</v>
      </c>
      <c r="H15" s="75">
        <f t="shared" si="0"/>
        <v>7.7849860982392993E-3</v>
      </c>
      <c r="I15" s="76">
        <v>505.6</v>
      </c>
      <c r="J15" s="75">
        <f t="shared" si="2"/>
        <v>7.5410178410166839E-2</v>
      </c>
      <c r="K15" s="71" t="str">
        <f>+Horticulture!L6</f>
        <v>ABS (2021a) + DPI (2021e)</v>
      </c>
      <c r="L15" s="71" t="str">
        <f>+Horticulture!M6</f>
        <v>Australian Bureau of Statistics (2021). 7503.0 Value of Agricultural Commodities Produced, Australia 2019-20. Last accessed September 2021. 
&lt;http://www.abs.gov.au/ausstats/abs@.nsf/mf/7503.0&gt;</v>
      </c>
    </row>
    <row r="16" spans="1:12" x14ac:dyDescent="0.3">
      <c r="A16" s="22" t="s">
        <v>131</v>
      </c>
      <c r="B16" s="73" t="s">
        <v>46</v>
      </c>
      <c r="C16" s="74">
        <f>+Wine!D3</f>
        <v>186.6858153</v>
      </c>
      <c r="D16" s="74">
        <v>227.11570481999999</v>
      </c>
      <c r="E16" s="74">
        <f>+Wine!F3</f>
        <v>237.11852171000001</v>
      </c>
      <c r="F16" s="74">
        <f>+Wine!G3</f>
        <v>227.14169799999999</v>
      </c>
      <c r="G16" s="74">
        <f>+Wine!H3</f>
        <v>255.12555419360001</v>
      </c>
      <c r="H16" s="75">
        <f t="shared" si="0"/>
        <v>0.12319999559746186</v>
      </c>
      <c r="I16" s="76">
        <f t="shared" si="1"/>
        <v>226.63745880471998</v>
      </c>
      <c r="J16" s="75">
        <f t="shared" si="2"/>
        <v>0.12569897111945005</v>
      </c>
      <c r="K16" s="71" t="str">
        <f>+Wine!L3</f>
        <v>ABS (2021a) + DPI (2021e)</v>
      </c>
      <c r="L16" s="71" t="str">
        <f>+Wine!M3</f>
        <v>Australian Bureau of Statistics (2021). 7503.0 Value of Agricultural Commodities Produced, Australia 2019-20. Last accessed September 2021. 
&lt;http://www.abs.gov.au/ausstats/abs@.nsf/mf/7503.0&gt;</v>
      </c>
    </row>
    <row r="17" spans="1:12" x14ac:dyDescent="0.3">
      <c r="A17" s="15" t="s">
        <v>251</v>
      </c>
      <c r="B17" s="72" t="s">
        <v>46</v>
      </c>
      <c r="C17" s="68">
        <f>+SUM(C18:C26)</f>
        <v>6154.8615028900003</v>
      </c>
      <c r="D17" s="68">
        <v>6563.36668095</v>
      </c>
      <c r="E17" s="68">
        <f t="shared" ref="E17:G17" si="4">+SUM(E18:E26)</f>
        <v>6712.0335224599985</v>
      </c>
      <c r="F17" s="68">
        <f t="shared" si="4"/>
        <v>6914.6154112899994</v>
      </c>
      <c r="G17" s="68">
        <f t="shared" si="4"/>
        <v>6522.6354705045806</v>
      </c>
      <c r="H17" s="69">
        <f t="shared" si="0"/>
        <v>-5.6688610641367654E-2</v>
      </c>
      <c r="I17" s="70">
        <f t="shared" si="1"/>
        <v>6573.5025176189156</v>
      </c>
      <c r="J17" s="69">
        <f t="shared" si="2"/>
        <v>-7.7381954259538865E-3</v>
      </c>
      <c r="K17" s="13"/>
      <c r="L17" s="13"/>
    </row>
    <row r="18" spans="1:12" x14ac:dyDescent="0.3">
      <c r="A18" s="22" t="s">
        <v>252</v>
      </c>
      <c r="B18" s="73" t="s">
        <v>46</v>
      </c>
      <c r="C18" s="74">
        <f>+Beef!D3</f>
        <v>2364.1512830000001</v>
      </c>
      <c r="D18" s="74">
        <v>2387.2431421000001</v>
      </c>
      <c r="E18" s="74">
        <f>+Beef!F3</f>
        <v>2562.5153943</v>
      </c>
      <c r="F18" s="74">
        <f>+Beef!G3</f>
        <v>2724.1466098000001</v>
      </c>
      <c r="G18" s="74">
        <f>+Beef!H3</f>
        <v>2490.3175904626942</v>
      </c>
      <c r="H18" s="75">
        <f t="shared" si="0"/>
        <v>-8.5835695661942712E-2</v>
      </c>
      <c r="I18" s="76">
        <f t="shared" si="1"/>
        <v>2505.6748039325385</v>
      </c>
      <c r="J18" s="75">
        <f t="shared" si="2"/>
        <v>-6.1289730996783032E-3</v>
      </c>
      <c r="K18" s="71" t="str">
        <f>+Beef!L3</f>
        <v>ABS (2021a) + DPI (2021e)</v>
      </c>
      <c r="L18" s="71" t="str">
        <f>+Beef!M3</f>
        <v>Australian Bureau of Statistics (2021). 7503.0 Value of Agricultural Commodities Produced, Australia 2019-20. Last accessed September 2021. 
&lt;http://www.abs.gov.au/ausstats/abs@.nsf/mf/7503.0&gt;</v>
      </c>
    </row>
    <row r="19" spans="1:12" x14ac:dyDescent="0.3">
      <c r="A19" s="22" t="s">
        <v>253</v>
      </c>
      <c r="B19" s="73" t="s">
        <v>46</v>
      </c>
      <c r="C19" s="74">
        <f>+'Sheep Meat'!D3</f>
        <v>832.55055429999993</v>
      </c>
      <c r="D19" s="74">
        <v>985.28036025999995</v>
      </c>
      <c r="E19" s="74">
        <f>+'Sheep Meat'!F3</f>
        <v>1100.4796549</v>
      </c>
      <c r="F19" s="74">
        <f>+'Sheep Meat'!G3</f>
        <v>1359.9500029999999</v>
      </c>
      <c r="G19" s="74">
        <f>+'Sheep Meat'!H3</f>
        <v>1213.2577660894401</v>
      </c>
      <c r="H19" s="75">
        <f t="shared" si="0"/>
        <v>-0.1078659043251311</v>
      </c>
      <c r="I19" s="76">
        <f t="shared" si="1"/>
        <v>1098.303667709888</v>
      </c>
      <c r="J19" s="75">
        <f t="shared" si="2"/>
        <v>0.10466513202058847</v>
      </c>
      <c r="K19" s="71" t="str">
        <f>+'Sheep Meat'!L3</f>
        <v>ABS (2021a) + DPI (2021e)</v>
      </c>
      <c r="L19" s="71" t="str">
        <f>+'Sheep Meat'!M3</f>
        <v>Australian Bureau of Statistics (2021). 7503.0 Value of Agricultural Commodities Produced, Australia 2019-20. Last accessed September 2021. 
&lt;http://www.abs.gov.au/ausstats/abs@.nsf/mf/7503.0&gt;</v>
      </c>
    </row>
    <row r="20" spans="1:12" x14ac:dyDescent="0.3">
      <c r="A20" s="22" t="s">
        <v>254</v>
      </c>
      <c r="B20" s="73" t="s">
        <v>46</v>
      </c>
      <c r="C20" s="74">
        <f>+'Goat Meat'!D3</f>
        <v>12.359257289999999</v>
      </c>
      <c r="D20" s="74">
        <v>10.219749310000001</v>
      </c>
      <c r="E20" s="74">
        <f>+'Goat Meat'!F3</f>
        <v>6.6974224500000004</v>
      </c>
      <c r="F20" s="74">
        <f>+'Goat Meat'!G3</f>
        <v>10.254192029999999</v>
      </c>
      <c r="G20" s="74">
        <f>+'Goat Meat'!H3</f>
        <v>8.0822193728835252</v>
      </c>
      <c r="H20" s="75">
        <f t="shared" si="0"/>
        <v>-0.21181314439617271</v>
      </c>
      <c r="I20" s="76">
        <f t="shared" si="1"/>
        <v>9.5225680905767067</v>
      </c>
      <c r="J20" s="75">
        <f t="shared" si="2"/>
        <v>-0.15125633169465225</v>
      </c>
      <c r="K20" s="71" t="str">
        <f>+'Goat Meat'!L3</f>
        <v>MLA (2021a)</v>
      </c>
      <c r="L20" s="71" t="str">
        <f>+'Goat Meat'!M3</f>
        <v>Meat and Livestock Australia (2021). Market Information and Statistics Database Custom Report. Last accessed September 2021.</v>
      </c>
    </row>
    <row r="21" spans="1:12" x14ac:dyDescent="0.3">
      <c r="A21" s="22" t="s">
        <v>22</v>
      </c>
      <c r="B21" s="73" t="s">
        <v>46</v>
      </c>
      <c r="C21" s="74">
        <f>+Pork!D3</f>
        <v>224.42336659999998</v>
      </c>
      <c r="D21" s="74">
        <v>200.61968869</v>
      </c>
      <c r="E21" s="74">
        <f>+Pork!F3</f>
        <v>193.76167734999999</v>
      </c>
      <c r="F21" s="74">
        <f>+Pork!G3</f>
        <v>245.90688943999999</v>
      </c>
      <c r="G21" s="74">
        <f>+Pork!H3</f>
        <v>235.74987261439861</v>
      </c>
      <c r="H21" s="75">
        <f t="shared" si="0"/>
        <v>-4.1304319894134744E-2</v>
      </c>
      <c r="I21" s="76">
        <f t="shared" si="1"/>
        <v>220.09229893887974</v>
      </c>
      <c r="J21" s="75">
        <f t="shared" si="2"/>
        <v>7.11409429180756E-2</v>
      </c>
      <c r="K21" s="71" t="str">
        <f>+Pork!L3</f>
        <v>ABS (2021a) + DPI (2021e)</v>
      </c>
      <c r="L21" s="71" t="str">
        <f>+Pork!M3</f>
        <v>Australian Bureau of Statistics (2021). 7503.0 Value of Agricultural Commodities Produced, Australia 2019-20. Last accessed September 2021. 
&lt;http://www.abs.gov.au/ausstats/abs@.nsf/mf/7503.0&gt;</v>
      </c>
    </row>
    <row r="22" spans="1:12" x14ac:dyDescent="0.3">
      <c r="A22" s="22" t="s">
        <v>23</v>
      </c>
      <c r="B22" s="73" t="s">
        <v>46</v>
      </c>
      <c r="C22" s="74">
        <f>+Poultry!D3</f>
        <v>771.1375458</v>
      </c>
      <c r="D22" s="74">
        <v>782.76175211999998</v>
      </c>
      <c r="E22" s="74">
        <f>+Poultry!F3</f>
        <v>784.82655599999998</v>
      </c>
      <c r="F22" s="74">
        <f>+Poultry!G3</f>
        <v>842.78658900000005</v>
      </c>
      <c r="G22" s="74">
        <f>+Poultry!H3</f>
        <v>855.27864871511008</v>
      </c>
      <c r="H22" s="75">
        <f t="shared" si="0"/>
        <v>1.4822328544563446E-2</v>
      </c>
      <c r="I22" s="76">
        <f t="shared" si="1"/>
        <v>807.35821832702209</v>
      </c>
      <c r="J22" s="75">
        <f t="shared" si="2"/>
        <v>5.9354607781644919E-2</v>
      </c>
      <c r="K22" s="71" t="str">
        <f>+Poultry!L3</f>
        <v>ABS (2021a) + DPI (2021e)</v>
      </c>
      <c r="L22" s="71" t="str">
        <f>+Poultry!M3</f>
        <v>Australian Bureau of Statistics (2021). 7503.0 Value of Agricultural Commodities Produced, Australia 2019-20. Last accessed September 2021. 
&lt;http://www.abs.gov.au/ausstats/abs@.nsf/mf/7503.0&gt;</v>
      </c>
    </row>
    <row r="23" spans="1:12" x14ac:dyDescent="0.3">
      <c r="A23" s="22" t="s">
        <v>24</v>
      </c>
      <c r="B23" s="73" t="s">
        <v>46</v>
      </c>
      <c r="C23" s="74">
        <f>+Wool!D3</f>
        <v>1094.983751</v>
      </c>
      <c r="D23" s="74">
        <v>1306.2432659999999</v>
      </c>
      <c r="E23" s="74">
        <f>+Wool!F3</f>
        <v>1168.2357629000001</v>
      </c>
      <c r="F23" s="74">
        <f>+Wool!G3</f>
        <v>773.91666294000004</v>
      </c>
      <c r="G23" s="74">
        <f>+Wool!H3</f>
        <v>744.9989045541696</v>
      </c>
      <c r="H23" s="75">
        <f t="shared" si="0"/>
        <v>-3.7365468106056787E-2</v>
      </c>
      <c r="I23" s="76">
        <f t="shared" si="1"/>
        <v>1017.6756694788339</v>
      </c>
      <c r="J23" s="75">
        <f t="shared" si="2"/>
        <v>-0.26794073308670718</v>
      </c>
      <c r="K23" s="71" t="str">
        <f>+Wool!L3</f>
        <v>ABS (2021a) + DPI (2021e)</v>
      </c>
      <c r="L23" s="71" t="str">
        <f>+Wool!M3</f>
        <v>Australian Bureau of Statistics (2021). 7503.0 Value of Agricultural Commodities Produced, Australia 2019-20. Last accessed September 2021. 
&lt;http://www.abs.gov.au/ausstats/abs@.nsf/mf/7503.0&gt;</v>
      </c>
    </row>
    <row r="24" spans="1:12" x14ac:dyDescent="0.3">
      <c r="A24" s="22" t="s">
        <v>25</v>
      </c>
      <c r="B24" s="73" t="s">
        <v>46</v>
      </c>
      <c r="C24" s="74">
        <f>+Eggs!D3</f>
        <v>255.51483049999999</v>
      </c>
      <c r="D24" s="74">
        <v>263.09533299000003</v>
      </c>
      <c r="E24" s="74">
        <f>+Eggs!F3</f>
        <v>238.80816077</v>
      </c>
      <c r="F24" s="74">
        <f>+Eggs!G3</f>
        <v>258.97607625000001</v>
      </c>
      <c r="G24" s="74">
        <f>+Eggs!H3</f>
        <v>267.61878415671498</v>
      </c>
      <c r="H24" s="75">
        <f t="shared" si="0"/>
        <v>3.3372611215144898E-2</v>
      </c>
      <c r="I24" s="76">
        <f t="shared" si="1"/>
        <v>256.80263693334302</v>
      </c>
      <c r="J24" s="75">
        <f t="shared" si="2"/>
        <v>4.2118520870871867E-2</v>
      </c>
      <c r="K24" s="71" t="str">
        <f>+Eggs!L3</f>
        <v>ABS (2021a) + DPI (2021e)</v>
      </c>
      <c r="L24" s="71" t="str">
        <f>+Eggs!M3</f>
        <v>Australian Bureau of Statistics (2021). 7503.0 Value of Agricultural Commodities Produced, Australia 2019-20. Last accessed September 2021. 
&lt;http://www.abs.gov.au/ausstats/abs@.nsf/mf/7503.0&gt;</v>
      </c>
    </row>
    <row r="25" spans="1:12" x14ac:dyDescent="0.3">
      <c r="A25" s="22" t="s">
        <v>26</v>
      </c>
      <c r="B25" s="73" t="s">
        <v>46</v>
      </c>
      <c r="C25" s="74">
        <f>+Milk!D3</f>
        <v>548.79243439999993</v>
      </c>
      <c r="D25" s="74">
        <v>566.22330948000001</v>
      </c>
      <c r="E25" s="74">
        <f>+Milk!F3</f>
        <v>592.00293378999993</v>
      </c>
      <c r="F25" s="74">
        <f>+Milk!G3</f>
        <v>647.24634882999999</v>
      </c>
      <c r="G25" s="74">
        <f>+Milk!H3</f>
        <v>658.76976453916893</v>
      </c>
      <c r="H25" s="75">
        <f t="shared" si="0"/>
        <v>1.7803755447982628E-2</v>
      </c>
      <c r="I25" s="76">
        <f t="shared" si="1"/>
        <v>602.60695820783371</v>
      </c>
      <c r="J25" s="75">
        <f t="shared" si="2"/>
        <v>9.319973087991662E-2</v>
      </c>
      <c r="K25" s="71" t="str">
        <f>+Milk!L3</f>
        <v>ABS (2021a) + DPI (2021e)</v>
      </c>
      <c r="L25" s="71" t="str">
        <f>+Milk!M3</f>
        <v>Australian Bureau of Statistics (2021). 7503.0 Value of Agricultural Commodities Produced, Australia 2019-20. Last accessed September 2021. 
&lt;http://www.abs.gov.au/ausstats/abs@.nsf/mf/7503.0&gt;</v>
      </c>
    </row>
    <row r="26" spans="1:12" x14ac:dyDescent="0.3">
      <c r="A26" s="22" t="s">
        <v>255</v>
      </c>
      <c r="B26" s="73" t="s">
        <v>46</v>
      </c>
      <c r="C26" s="74">
        <v>50.948480000000004</v>
      </c>
      <c r="D26" s="74">
        <v>61.680079999999997</v>
      </c>
      <c r="E26" s="74">
        <v>64.705960000000005</v>
      </c>
      <c r="F26" s="74">
        <v>51.432040000000001</v>
      </c>
      <c r="G26" s="74">
        <v>48.561920000000001</v>
      </c>
      <c r="H26" s="75">
        <f t="shared" si="0"/>
        <v>-5.5804125210666355E-2</v>
      </c>
      <c r="I26" s="76">
        <f t="shared" si="1"/>
        <v>55.465696000000001</v>
      </c>
      <c r="J26" s="75">
        <f t="shared" si="2"/>
        <v>-0.12446929359725334</v>
      </c>
      <c r="K26" s="71"/>
      <c r="L26" s="71"/>
    </row>
    <row r="27" spans="1:12" x14ac:dyDescent="0.3">
      <c r="A27" s="9" t="s">
        <v>256</v>
      </c>
      <c r="B27" s="72" t="s">
        <v>46</v>
      </c>
      <c r="C27" s="68">
        <f>+SUM(C28:C31)</f>
        <v>661.00500000000011</v>
      </c>
      <c r="D27" s="68">
        <v>729.49264300744971</v>
      </c>
      <c r="E27" s="68">
        <f>+SUM(E28:E31)</f>
        <v>701.39944753092004</v>
      </c>
      <c r="F27" s="68">
        <f>+SUM(F28:F31)</f>
        <v>741.03612758790814</v>
      </c>
      <c r="G27" s="68">
        <f>+SUM(G28:G31)</f>
        <v>726.90988750553424</v>
      </c>
      <c r="H27" s="69">
        <f t="shared" si="0"/>
        <v>-1.9062822386750833E-2</v>
      </c>
      <c r="I27" s="70">
        <v>709.2</v>
      </c>
      <c r="J27" s="69">
        <f t="shared" si="2"/>
        <v>2.0985849566704351E-2</v>
      </c>
      <c r="K27" s="13"/>
      <c r="L27" s="13"/>
    </row>
    <row r="28" spans="1:12" x14ac:dyDescent="0.3">
      <c r="A28" s="22" t="s">
        <v>258</v>
      </c>
      <c r="B28" s="73" t="s">
        <v>46</v>
      </c>
      <c r="C28" s="74">
        <f>+Forestry!D4</f>
        <v>133.5</v>
      </c>
      <c r="D28" s="74">
        <v>150.4</v>
      </c>
      <c r="E28" s="74">
        <f>+Forestry!F4</f>
        <v>166</v>
      </c>
      <c r="F28" s="74">
        <f>+Forestry!G4</f>
        <v>121.5014718420702</v>
      </c>
      <c r="G28" s="74">
        <f>+Forestry!H4</f>
        <v>97.558100618175743</v>
      </c>
      <c r="H28" s="75">
        <f t="shared" si="0"/>
        <v>-0.19706239653636859</v>
      </c>
      <c r="I28" s="76">
        <f t="shared" si="1"/>
        <v>133.79191449204919</v>
      </c>
      <c r="J28" s="75">
        <f t="shared" si="2"/>
        <v>-0.27082214954048434</v>
      </c>
      <c r="K28" s="71" t="str">
        <f>+Forestry!L4</f>
        <v>ABARES (2021j)</v>
      </c>
      <c r="L28" s="71" t="str">
        <f>+Forestry!M4</f>
        <v>Australian Bureau of Agricultural and Resource Economics and Sciences (2021). Australian Forest and Wood Product Statistics September – December 2020. Last accessed September 2021.</v>
      </c>
    </row>
    <row r="29" spans="1:12" x14ac:dyDescent="0.3">
      <c r="A29" s="22" t="s">
        <v>257</v>
      </c>
      <c r="B29" s="73" t="s">
        <v>46</v>
      </c>
      <c r="C29" s="74">
        <f>+Forestry!D5</f>
        <v>373.6</v>
      </c>
      <c r="D29" s="74">
        <v>398.3</v>
      </c>
      <c r="E29" s="74">
        <f>+Forestry!F5</f>
        <v>348.1</v>
      </c>
      <c r="F29" s="74">
        <f>+Forestry!G5</f>
        <v>420.86483681995799</v>
      </c>
      <c r="G29" s="74">
        <f>+Forestry!H5</f>
        <v>426.88364777093227</v>
      </c>
      <c r="H29" s="75">
        <f t="shared" si="0"/>
        <v>1.4301054458367712E-2</v>
      </c>
      <c r="I29" s="76">
        <f t="shared" si="1"/>
        <v>393.54969691817803</v>
      </c>
      <c r="J29" s="75">
        <f t="shared" si="2"/>
        <v>8.4700740754692028E-2</v>
      </c>
      <c r="K29" s="71" t="str">
        <f>+Forestry!L5</f>
        <v>ABARES (2021j)</v>
      </c>
      <c r="L29" s="71" t="str">
        <f>+Forestry!M5</f>
        <v>Australian Bureau of Agricultural and Resource Economics and Sciences (2021). Australian Forest and Wood Product Statistics September – December 2020. Last accessed September 2021.</v>
      </c>
    </row>
    <row r="30" spans="1:12" x14ac:dyDescent="0.3">
      <c r="A30" s="22" t="s">
        <v>259</v>
      </c>
      <c r="B30" s="73" t="s">
        <v>46</v>
      </c>
      <c r="C30" s="74">
        <v>64.599999999999994</v>
      </c>
      <c r="D30" s="74">
        <v>78.442234999999997</v>
      </c>
      <c r="E30" s="74">
        <f>+Fisheries!F4</f>
        <v>80.400627</v>
      </c>
      <c r="F30" s="74">
        <f>+Fisheries!G4</f>
        <v>89.5</v>
      </c>
      <c r="G30" s="74">
        <f>+Fisheries!H4</f>
        <v>98</v>
      </c>
      <c r="H30" s="75">
        <f t="shared" si="0"/>
        <v>9.4972067039106101E-2</v>
      </c>
      <c r="I30" s="76">
        <v>82.2</v>
      </c>
      <c r="J30" s="75">
        <f t="shared" si="2"/>
        <v>0.19237987883580754</v>
      </c>
      <c r="K30" s="71" t="str">
        <f>+Fisheries!L4</f>
        <v>DPI (2021i)</v>
      </c>
      <c r="L30" s="71" t="str">
        <f>+Fisheries!M4</f>
        <v>NSW Department of Primary Industries (2021). Aquaculture Production Report 2019-20. Last accessed September 2021. &lt;https://www.dpi.nsw.gov.au/fishing/aquaculture/publications/aquaculture-production-reports&gt;</v>
      </c>
    </row>
    <row r="31" spans="1:12" x14ac:dyDescent="0.3">
      <c r="A31" s="22" t="s">
        <v>260</v>
      </c>
      <c r="B31" s="73" t="s">
        <v>46</v>
      </c>
      <c r="C31" s="74">
        <f>+Fisheries!D5</f>
        <v>89.305000000000007</v>
      </c>
      <c r="D31" s="74">
        <v>102.35040800744967</v>
      </c>
      <c r="E31" s="74">
        <f>+Fisheries!F5</f>
        <v>106.89882053091998</v>
      </c>
      <c r="F31" s="74">
        <f>+Fisheries!G5</f>
        <v>109.16981892588007</v>
      </c>
      <c r="G31" s="74">
        <f>+Fisheries!H5</f>
        <v>104.46813911642619</v>
      </c>
      <c r="H31" s="75">
        <f t="shared" si="0"/>
        <v>-4.3067579077382567E-2</v>
      </c>
      <c r="I31" s="76">
        <f t="shared" si="1"/>
        <v>102.43843731613519</v>
      </c>
      <c r="J31" s="75">
        <f t="shared" si="2"/>
        <v>1.9813869222029767E-2</v>
      </c>
      <c r="K31" s="71" t="str">
        <f>+Fisheries!L5</f>
        <v>ABARES (2021i)</v>
      </c>
      <c r="L31" s="71" t="str">
        <f>+Fisheries!M5</f>
        <v>Australian Bureau of Agricultural and Resource Economics (2021d). Australian Fisheries and Aquaculture Statistics 2020. Last Accessed October 2021. https://www.agriculture.gov.au/abares/research-topics/fisheries/fisheries-and-aquaculture-statistics</v>
      </c>
    </row>
    <row r="32" spans="1:12" x14ac:dyDescent="0.3">
      <c r="A32" s="18" t="s">
        <v>265</v>
      </c>
      <c r="B32" s="151" t="s">
        <v>46</v>
      </c>
      <c r="C32" s="153">
        <v>15212.953902820002</v>
      </c>
      <c r="D32" s="153">
        <v>14054.873888207449</v>
      </c>
      <c r="E32" s="153">
        <v>12444.893004180918</v>
      </c>
      <c r="F32" s="153">
        <v>11988.041430287909</v>
      </c>
      <c r="G32" s="153">
        <v>17573.658849523716</v>
      </c>
      <c r="H32" s="153">
        <v>0.46593244206878426</v>
      </c>
      <c r="I32" s="153">
        <v>14254.884215003996</v>
      </c>
      <c r="J32" s="153">
        <v>0.23281666721828143</v>
      </c>
      <c r="K32" s="71"/>
      <c r="L32" s="71"/>
    </row>
    <row r="33" spans="1:12" x14ac:dyDescent="0.3">
      <c r="A33" s="9" t="s">
        <v>261</v>
      </c>
      <c r="B33" s="72" t="s">
        <v>46</v>
      </c>
      <c r="C33" s="68">
        <f t="shared" ref="C33:G33" si="5">+SUM(C34:C36)</f>
        <v>3575.5238905308474</v>
      </c>
      <c r="D33" s="68">
        <f t="shared" si="5"/>
        <v>3759.5376351230962</v>
      </c>
      <c r="E33" s="68">
        <f t="shared" si="5"/>
        <v>3882.630577757513</v>
      </c>
      <c r="F33" s="68">
        <f t="shared" si="5"/>
        <v>3279.64868329825</v>
      </c>
      <c r="G33" s="68">
        <f t="shared" si="5"/>
        <v>3332.9264251314498</v>
      </c>
      <c r="H33" s="69">
        <f t="shared" si="0"/>
        <v>1.6244953950256713E-2</v>
      </c>
      <c r="I33" s="70">
        <f t="shared" si="1"/>
        <v>3566.0534423682316</v>
      </c>
      <c r="J33" s="69">
        <f t="shared" si="2"/>
        <v>-6.5373954990972094E-2</v>
      </c>
      <c r="K33" s="13"/>
      <c r="L33" s="13"/>
    </row>
    <row r="34" spans="1:12" x14ac:dyDescent="0.3">
      <c r="A34" s="22" t="s">
        <v>262</v>
      </c>
      <c r="B34" s="73" t="s">
        <v>46</v>
      </c>
      <c r="C34" s="74">
        <v>1466</v>
      </c>
      <c r="D34" s="74">
        <v>1540.9948420230367</v>
      </c>
      <c r="E34" s="74">
        <v>1565.9249407414904</v>
      </c>
      <c r="F34" s="74">
        <v>1300.1893930880733</v>
      </c>
      <c r="G34" s="74">
        <v>1281.5819656007498</v>
      </c>
      <c r="H34" s="75">
        <f t="shared" si="0"/>
        <v>-1.431132078621955E-2</v>
      </c>
      <c r="I34" s="76">
        <f t="shared" si="1"/>
        <v>1430.9382282906702</v>
      </c>
      <c r="J34" s="75">
        <f t="shared" si="2"/>
        <v>-0.10437645716428601</v>
      </c>
      <c r="K34" s="152" t="s">
        <v>427</v>
      </c>
      <c r="L34" s="152" t="s">
        <v>428</v>
      </c>
    </row>
    <row r="35" spans="1:12" x14ac:dyDescent="0.3">
      <c r="A35" s="22" t="s">
        <v>263</v>
      </c>
      <c r="B35" s="73" t="s">
        <v>46</v>
      </c>
      <c r="C35" s="74">
        <v>2085.1656390312519</v>
      </c>
      <c r="D35" s="74">
        <v>2195.006556201377</v>
      </c>
      <c r="E35" s="74">
        <v>2292.4650607228004</v>
      </c>
      <c r="F35" s="74">
        <v>1959.5406998586059</v>
      </c>
      <c r="G35" s="74">
        <v>2034.198445193369</v>
      </c>
      <c r="H35" s="75">
        <f t="shared" si="0"/>
        <v>3.8099614537299598E-2</v>
      </c>
      <c r="I35" s="76">
        <f t="shared" si="1"/>
        <v>2113.2752802014811</v>
      </c>
      <c r="J35" s="75">
        <f t="shared" si="2"/>
        <v>-3.7419088629368158E-2</v>
      </c>
      <c r="K35" s="152" t="s">
        <v>429</v>
      </c>
      <c r="L35" s="152" t="s">
        <v>430</v>
      </c>
    </row>
    <row r="36" spans="1:12" x14ac:dyDescent="0.3">
      <c r="A36" s="22" t="s">
        <v>264</v>
      </c>
      <c r="B36" s="73" t="s">
        <v>46</v>
      </c>
      <c r="C36" s="74">
        <v>24.35825149959577</v>
      </c>
      <c r="D36" s="74">
        <v>23.536236898682752</v>
      </c>
      <c r="E36" s="74">
        <v>24.240576293222055</v>
      </c>
      <c r="F36" s="74">
        <v>19.918590351570792</v>
      </c>
      <c r="G36" s="74">
        <v>17.146014337331042</v>
      </c>
      <c r="H36" s="75">
        <f t="shared" si="0"/>
        <v>-0.13919539311280138</v>
      </c>
      <c r="I36" s="76">
        <f t="shared" si="1"/>
        <v>21.839933876080487</v>
      </c>
      <c r="J36" s="75">
        <f t="shared" si="2"/>
        <v>-0.21492370651773418</v>
      </c>
      <c r="K36" s="152" t="s">
        <v>431</v>
      </c>
      <c r="L36" s="152" t="s">
        <v>432</v>
      </c>
    </row>
    <row r="37" spans="1:12" x14ac:dyDescent="0.3">
      <c r="A37" s="15" t="s">
        <v>426</v>
      </c>
      <c r="B37" s="72" t="s">
        <v>46</v>
      </c>
      <c r="C37" s="68">
        <f>+SUM(C2,C12,C17,C27,C33)</f>
        <v>18788.490393420849</v>
      </c>
      <c r="D37" s="68">
        <f>+SUM(D2,D12,D17,D27,D33)</f>
        <v>17814.411523330546</v>
      </c>
      <c r="E37" s="68">
        <f>+SUM(E2,E12,E17,E27,E33)</f>
        <v>16327.482069458432</v>
      </c>
      <c r="F37" s="68">
        <f>+SUM(F2,F12,F17,F27,F33)</f>
        <v>15267.700222176156</v>
      </c>
      <c r="G37" s="68">
        <f>+SUM(G2,G12,G17,G27,G33)</f>
        <v>20906.673090464079</v>
      </c>
      <c r="H37" s="69">
        <f t="shared" si="0"/>
        <v>0.36934003066797061</v>
      </c>
      <c r="I37" s="70">
        <v>17778.25</v>
      </c>
      <c r="J37" s="69">
        <f t="shared" si="2"/>
        <v>0.17315134030076584</v>
      </c>
      <c r="K37" s="13"/>
      <c r="L37" s="13"/>
    </row>
    <row r="38" spans="1:12" x14ac:dyDescent="0.3">
      <c r="A38" s="26" t="s">
        <v>266</v>
      </c>
      <c r="B38" s="13"/>
      <c r="C38" s="13"/>
      <c r="D38" s="13"/>
      <c r="E38" s="13"/>
      <c r="F38" s="13"/>
      <c r="G38" s="13"/>
      <c r="H38" s="13"/>
      <c r="I38" s="13"/>
      <c r="J38" s="13"/>
      <c r="K38" s="13"/>
      <c r="L38" s="13"/>
    </row>
    <row r="39" spans="1:12" x14ac:dyDescent="0.3">
      <c r="A39" s="13" t="s">
        <v>267</v>
      </c>
      <c r="B39" s="13"/>
      <c r="C39" s="13"/>
      <c r="D39" s="13"/>
      <c r="E39" s="13"/>
      <c r="F39" s="13"/>
      <c r="G39" s="13"/>
      <c r="H39" s="13"/>
      <c r="I39" s="13"/>
      <c r="J39" s="13"/>
      <c r="K39" s="13"/>
      <c r="L39" s="13"/>
    </row>
    <row r="40" spans="1:12" x14ac:dyDescent="0.3">
      <c r="A40" s="142" t="s">
        <v>268</v>
      </c>
      <c r="B40" s="13"/>
      <c r="C40" s="13"/>
      <c r="D40" s="13"/>
      <c r="E40" s="13"/>
      <c r="F40" s="13"/>
      <c r="G40" s="13"/>
      <c r="H40" s="13"/>
      <c r="I40" s="13"/>
      <c r="J40" s="13"/>
      <c r="K40" s="13"/>
      <c r="L40" s="13"/>
    </row>
    <row r="41" spans="1:12" x14ac:dyDescent="0.3">
      <c r="A41" s="13" t="s">
        <v>177</v>
      </c>
      <c r="B41" s="13"/>
      <c r="C41" s="13"/>
      <c r="D41" s="13"/>
      <c r="E41" s="13"/>
      <c r="F41" s="13"/>
      <c r="G41" s="13"/>
      <c r="H41" s="13"/>
      <c r="I41" s="13"/>
      <c r="J41" s="13"/>
      <c r="K41" s="13"/>
      <c r="L41" s="13"/>
    </row>
    <row r="42" spans="1:12" x14ac:dyDescent="0.3">
      <c r="A42" s="13" t="s">
        <v>68</v>
      </c>
      <c r="B42" s="13"/>
      <c r="C42" s="13"/>
      <c r="D42" s="13"/>
      <c r="E42" s="13"/>
      <c r="F42" s="13"/>
      <c r="G42" s="13"/>
      <c r="H42" s="13"/>
      <c r="I42" s="13"/>
      <c r="J42" s="13"/>
      <c r="K42" s="13"/>
      <c r="L42" s="13"/>
    </row>
    <row r="43" spans="1:12" x14ac:dyDescent="0.3">
      <c r="A43" s="13" t="s">
        <v>269</v>
      </c>
      <c r="B43" s="13"/>
      <c r="C43" s="13"/>
      <c r="D43" s="13"/>
      <c r="E43" s="13"/>
      <c r="F43" s="13"/>
      <c r="G43" s="13"/>
      <c r="H43" s="13"/>
      <c r="I43" s="13"/>
      <c r="J43" s="13"/>
      <c r="K43" s="13"/>
      <c r="L43" s="13"/>
    </row>
    <row r="44" spans="1:12" x14ac:dyDescent="0.3">
      <c r="A44" s="13" t="s">
        <v>228</v>
      </c>
      <c r="B44" s="13"/>
      <c r="C44" s="13"/>
      <c r="D44" s="13"/>
      <c r="E44" s="13"/>
      <c r="F44" s="13"/>
      <c r="G44" s="13"/>
      <c r="H44" s="13"/>
      <c r="I44" s="13"/>
      <c r="J44" s="13"/>
      <c r="K44" s="13"/>
      <c r="L44" s="13"/>
    </row>
    <row r="45" spans="1:12" x14ac:dyDescent="0.3">
      <c r="A45" s="27" t="s">
        <v>270</v>
      </c>
      <c r="B45" s="13"/>
      <c r="C45" s="13"/>
      <c r="D45" s="13"/>
      <c r="E45" s="13"/>
      <c r="F45" s="13"/>
      <c r="G45" s="13"/>
      <c r="H45" s="13"/>
      <c r="I45" s="13"/>
      <c r="J45" s="13"/>
      <c r="K45" s="13"/>
      <c r="L45" s="13"/>
    </row>
    <row r="46" spans="1:12" x14ac:dyDescent="0.3">
      <c r="B46" s="13"/>
      <c r="C46" s="13"/>
      <c r="D46" s="13"/>
      <c r="E46" s="13"/>
      <c r="F46" s="13"/>
      <c r="G46" s="13"/>
      <c r="H46" s="13"/>
      <c r="I46" s="13"/>
      <c r="J46" s="13"/>
      <c r="K46" s="13"/>
      <c r="L46" s="13"/>
    </row>
  </sheetData>
  <conditionalFormatting sqref="A37:J37 A2:F2 H2:J2 A7:J26 A3:J5">
    <cfRule type="expression" dxfId="76" priority="8">
      <formula>MOD(ROW(),2)=0</formula>
    </cfRule>
  </conditionalFormatting>
  <conditionalFormatting sqref="A28:J31 A34:J36 A32">
    <cfRule type="expression" dxfId="75" priority="7">
      <formula>MOD(ROW(),2)=0</formula>
    </cfRule>
  </conditionalFormatting>
  <conditionalFormatting sqref="A27:J27">
    <cfRule type="expression" dxfId="74" priority="6">
      <formula>MOD(ROW(),2)=0</formula>
    </cfRule>
  </conditionalFormatting>
  <conditionalFormatting sqref="A33:J33">
    <cfRule type="expression" dxfId="73" priority="5">
      <formula>MOD(ROW(),2)=0</formula>
    </cfRule>
  </conditionalFormatting>
  <conditionalFormatting sqref="A6:J6">
    <cfRule type="expression" dxfId="72" priority="4">
      <formula>MOD(ROW(),2)=0</formula>
    </cfRule>
  </conditionalFormatting>
  <conditionalFormatting sqref="B34:B37 B2:B31">
    <cfRule type="expression" dxfId="71" priority="3">
      <formula>MOD(ROW(),2)=0</formula>
    </cfRule>
  </conditionalFormatting>
  <conditionalFormatting sqref="B33">
    <cfRule type="expression" dxfId="70" priority="2">
      <formula>MOD(ROW(),2)=0</formula>
    </cfRule>
  </conditionalFormatting>
  <conditionalFormatting sqref="G2">
    <cfRule type="expression" dxfId="69" priority="1">
      <formula>MOD(ROW(),2)=0</formula>
    </cfRule>
  </conditionalFormatting>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38E91-9548-460B-9A44-2768877E5A74}">
  <dimension ref="A1:L72"/>
  <sheetViews>
    <sheetView workbookViewId="0"/>
  </sheetViews>
  <sheetFormatPr defaultRowHeight="14.4" x14ac:dyDescent="0.3"/>
  <cols>
    <col min="1" max="1" width="27.6640625" customWidth="1"/>
    <col min="2" max="2" width="16.33203125" bestFit="1" customWidth="1"/>
    <col min="3" max="3" width="9.5546875" bestFit="1" customWidth="1"/>
    <col min="4" max="6" width="9" bestFit="1" customWidth="1"/>
    <col min="7" max="7" width="9.109375" bestFit="1" customWidth="1"/>
    <col min="8" max="10" width="9" bestFit="1" customWidth="1"/>
    <col min="11" max="11" width="24.5546875" bestFit="1" customWidth="1"/>
  </cols>
  <sheetData>
    <row r="1" spans="1:12" ht="46.8" x14ac:dyDescent="0.3">
      <c r="A1" s="5" t="s">
        <v>271</v>
      </c>
      <c r="B1" s="5" t="s">
        <v>38</v>
      </c>
      <c r="C1" s="5" t="str">
        <f>+'Gross Value of Production'!C1</f>
        <v>2016-17</v>
      </c>
      <c r="D1" s="5" t="str">
        <f>+'Gross Value of Production'!D1</f>
        <v>2017-18</v>
      </c>
      <c r="E1" s="5" t="str">
        <f>+'Gross Value of Production'!E1</f>
        <v>2018-19</v>
      </c>
      <c r="F1" s="5" t="str">
        <f>+'Gross Value of Production'!F1</f>
        <v>2019-20</v>
      </c>
      <c r="G1" s="5" t="str">
        <f>+'Gross Value of Production'!G1</f>
        <v>2020-21[e]</v>
      </c>
      <c r="H1" s="19" t="s">
        <v>40</v>
      </c>
      <c r="I1" s="19" t="s">
        <v>139</v>
      </c>
      <c r="J1" s="19" t="s">
        <v>42</v>
      </c>
      <c r="K1" s="9" t="s">
        <v>43</v>
      </c>
      <c r="L1" s="9" t="s">
        <v>44</v>
      </c>
    </row>
    <row r="2" spans="1:12" x14ac:dyDescent="0.3">
      <c r="A2" s="9" t="s">
        <v>272</v>
      </c>
      <c r="B2" s="9"/>
      <c r="C2" s="20"/>
      <c r="D2" s="20"/>
      <c r="E2" s="57"/>
      <c r="F2" s="57"/>
      <c r="G2" s="57"/>
      <c r="H2" s="58"/>
      <c r="I2" s="58"/>
      <c r="J2" s="58"/>
      <c r="K2" s="11"/>
      <c r="L2" s="11"/>
    </row>
    <row r="3" spans="1:12" x14ac:dyDescent="0.3">
      <c r="A3" s="22" t="s">
        <v>9</v>
      </c>
      <c r="B3" s="6" t="s">
        <v>54</v>
      </c>
      <c r="C3" s="59">
        <f>+Wheat!D6</f>
        <v>9819.1200000000008</v>
      </c>
      <c r="D3" s="59">
        <f>+Wheat!E6</f>
        <v>4702.8419999999996</v>
      </c>
      <c r="E3" s="59">
        <f>+Wheat!F6</f>
        <v>1850.335</v>
      </c>
      <c r="F3" s="59">
        <f>+Wheat!G6</f>
        <v>1772.365</v>
      </c>
      <c r="G3" s="59">
        <f>+Wheat!H6</f>
        <v>13110</v>
      </c>
      <c r="H3" s="60">
        <f>+Wheat!I6</f>
        <v>6.3968962375131531</v>
      </c>
      <c r="I3" s="59">
        <f>+Wheat!J6</f>
        <v>6250.9323999999997</v>
      </c>
      <c r="J3" s="60">
        <f>+Wheat!K6</f>
        <v>1.0972871183185409</v>
      </c>
      <c r="K3" s="59" t="s">
        <v>57</v>
      </c>
      <c r="L3" s="146" t="s">
        <v>50</v>
      </c>
    </row>
    <row r="4" spans="1:12" x14ac:dyDescent="0.3">
      <c r="A4" s="22" t="s">
        <v>10</v>
      </c>
      <c r="B4" s="6" t="s">
        <v>54</v>
      </c>
      <c r="C4" s="59">
        <f>+Barley!D6</f>
        <v>2832.1239999999998</v>
      </c>
      <c r="D4" s="59">
        <f>+Barley!E6</f>
        <v>1304.643</v>
      </c>
      <c r="E4" s="59">
        <f>+Barley!F6</f>
        <v>909.08900000000006</v>
      </c>
      <c r="F4" s="59">
        <f>+Barley!G6</f>
        <v>916.3</v>
      </c>
      <c r="G4" s="59">
        <f>+Barley!H6</f>
        <v>3230</v>
      </c>
      <c r="H4" s="60">
        <f>+Barley!I6</f>
        <v>2.5250463821892395</v>
      </c>
      <c r="I4" s="59">
        <f>+Barley!J6</f>
        <v>1838.4311999999998</v>
      </c>
      <c r="J4" s="60">
        <f>+Barley!K6</f>
        <v>0.7569327587564878</v>
      </c>
      <c r="K4" s="59" t="s">
        <v>57</v>
      </c>
      <c r="L4" s="146" t="s">
        <v>50</v>
      </c>
    </row>
    <row r="5" spans="1:12" x14ac:dyDescent="0.3">
      <c r="A5" s="22" t="s">
        <v>11</v>
      </c>
      <c r="B5" s="6" t="s">
        <v>54</v>
      </c>
      <c r="C5" s="59">
        <f>+Rice!D6</f>
        <v>806.40099999999995</v>
      </c>
      <c r="D5" s="59">
        <f>+Rice!E6</f>
        <v>628.13499999999999</v>
      </c>
      <c r="E5" s="59">
        <f>+Rice!F6</f>
        <v>61.186999999999998</v>
      </c>
      <c r="F5" s="59">
        <f>+Rice!G6</f>
        <v>46.128</v>
      </c>
      <c r="G5" s="59">
        <f>+Rice!H6</f>
        <v>423</v>
      </c>
      <c r="H5" s="60">
        <f>+Rice!I6</f>
        <v>8.1701352757544221</v>
      </c>
      <c r="I5" s="59">
        <f>+Rice!J6</f>
        <v>392.97019999999998</v>
      </c>
      <c r="J5" s="60">
        <f>+Rice!K6</f>
        <v>7.6417499342189332E-2</v>
      </c>
      <c r="K5" s="59" t="s">
        <v>57</v>
      </c>
      <c r="L5" s="146" t="s">
        <v>50</v>
      </c>
    </row>
    <row r="6" spans="1:12" x14ac:dyDescent="0.3">
      <c r="A6" s="22" t="s">
        <v>244</v>
      </c>
      <c r="B6" s="6" t="s">
        <v>54</v>
      </c>
      <c r="C6" s="59">
        <f>+'Coarse Grains'!D6</f>
        <v>1167.5710000000001</v>
      </c>
      <c r="D6" s="59">
        <f>+'Coarse Grains'!E6</f>
        <v>747.29200000000014</v>
      </c>
      <c r="E6" s="59">
        <f>+'Coarse Grains'!F6</f>
        <v>514.601</v>
      </c>
      <c r="F6" s="59">
        <f>+'Coarse Grains'!G6</f>
        <v>390.21199999999999</v>
      </c>
      <c r="G6" s="59">
        <f>+'Coarse Grains'!H6</f>
        <v>1232.809</v>
      </c>
      <c r="H6" s="60">
        <f>+'Coarse Grains'!I6</f>
        <v>2.1593313378368681</v>
      </c>
      <c r="I6" s="59">
        <f>+'Coarse Grains'!J6</f>
        <v>810.49700000000007</v>
      </c>
      <c r="J6" s="60">
        <f>+'Coarse Grains'!K6</f>
        <v>0.52105313159703237</v>
      </c>
      <c r="K6" s="59" t="s">
        <v>57</v>
      </c>
      <c r="L6" s="146" t="s">
        <v>50</v>
      </c>
    </row>
    <row r="7" spans="1:12" x14ac:dyDescent="0.3">
      <c r="A7" s="22" t="s">
        <v>13</v>
      </c>
      <c r="B7" s="6" t="s">
        <v>54</v>
      </c>
      <c r="C7" s="59">
        <f>+Pulses!D6</f>
        <v>1031.3</v>
      </c>
      <c r="D7" s="59">
        <f>+Pulses!E6</f>
        <v>564.33999999999992</v>
      </c>
      <c r="E7" s="59">
        <f>+Pulses!F6</f>
        <v>75.793999999999997</v>
      </c>
      <c r="F7" s="59">
        <f>+Pulses!G6</f>
        <v>83.423000000000002</v>
      </c>
      <c r="G7" s="59">
        <f>+Pulses!H6</f>
        <v>684.8</v>
      </c>
      <c r="H7" s="60">
        <f>+Pulses!I6</f>
        <v>7.208767366313845</v>
      </c>
      <c r="I7" s="59">
        <f>+Pulses!J6</f>
        <v>487.93140000000005</v>
      </c>
      <c r="J7" s="60">
        <f>+Pulses!K6</f>
        <v>0.40347598043495436</v>
      </c>
      <c r="K7" s="59" t="s">
        <v>57</v>
      </c>
      <c r="L7" s="146" t="s">
        <v>50</v>
      </c>
    </row>
    <row r="8" spans="1:12" x14ac:dyDescent="0.3">
      <c r="A8" s="22" t="s">
        <v>14</v>
      </c>
      <c r="B8" s="6" t="s">
        <v>54</v>
      </c>
      <c r="C8" s="59">
        <f>+Oilseeds!D6</f>
        <v>2096.6130000000003</v>
      </c>
      <c r="D8" s="59">
        <f>+Oilseeds!E6</f>
        <v>1962.8409999999999</v>
      </c>
      <c r="E8" s="59">
        <f>+Oilseeds!F6</f>
        <v>726.29700000000003</v>
      </c>
      <c r="F8" s="59">
        <f>+Oilseeds!G6</f>
        <v>337.25199999999995</v>
      </c>
      <c r="G8" s="59">
        <f>+Oilseeds!H6</f>
        <v>1991.0639999999999</v>
      </c>
      <c r="H8" s="60">
        <f>+Oilseeds!I6</f>
        <v>4.9037870790981231</v>
      </c>
      <c r="I8" s="59">
        <f>+Oilseeds!J6</f>
        <v>1422.8134000000002</v>
      </c>
      <c r="J8" s="60">
        <f>+Oilseeds!K6</f>
        <v>0.39938518993425243</v>
      </c>
      <c r="K8" s="59" t="s">
        <v>57</v>
      </c>
      <c r="L8" s="146" t="s">
        <v>50</v>
      </c>
    </row>
    <row r="9" spans="1:12" x14ac:dyDescent="0.3">
      <c r="A9" s="22" t="s">
        <v>15</v>
      </c>
      <c r="B9" s="6" t="s">
        <v>100</v>
      </c>
      <c r="C9" s="59">
        <f>+'Cotton Lint'!D6</f>
        <v>2534.8017621145373</v>
      </c>
      <c r="D9" s="59">
        <f>+'Cotton Lint'!E6</f>
        <v>3249.603524229075</v>
      </c>
      <c r="E9" s="59">
        <f>+'Cotton Lint'!F6</f>
        <v>1414.4493392070485</v>
      </c>
      <c r="F9" s="59">
        <f>+'Cotton Lint'!G6</f>
        <v>366.87224669603523</v>
      </c>
      <c r="G9" s="59">
        <f>+'Cotton Lint'!H6</f>
        <v>1696.9603524229076</v>
      </c>
      <c r="H9" s="60">
        <f>+'Cotton Lint'!I6</f>
        <v>3.6254803073967343</v>
      </c>
      <c r="I9" s="59">
        <f>+'Cotton Lint'!J6</f>
        <v>1852.5374449339208</v>
      </c>
      <c r="J9" s="60">
        <f>+'Cotton Lint'!K6</f>
        <v>-8.3980538658727455E-2</v>
      </c>
      <c r="K9" s="59" t="s">
        <v>57</v>
      </c>
      <c r="L9" s="146" t="s">
        <v>50</v>
      </c>
    </row>
    <row r="10" spans="1:12" x14ac:dyDescent="0.3">
      <c r="A10" s="22" t="s">
        <v>245</v>
      </c>
      <c r="B10" s="6" t="s">
        <v>106</v>
      </c>
      <c r="C10" s="8">
        <v>2101</v>
      </c>
      <c r="D10" s="8">
        <v>1878</v>
      </c>
      <c r="E10" s="8">
        <v>2003</v>
      </c>
      <c r="F10" s="8">
        <v>1601</v>
      </c>
      <c r="G10" s="8">
        <v>1744</v>
      </c>
      <c r="H10" s="61">
        <v>0.09</v>
      </c>
      <c r="I10" s="8">
        <v>1865</v>
      </c>
      <c r="J10" s="61">
        <v>-7.0000000000000007E-2</v>
      </c>
      <c r="K10" s="59" t="s">
        <v>103</v>
      </c>
      <c r="L10" s="146" t="s">
        <v>104</v>
      </c>
    </row>
    <row r="11" spans="1:12" x14ac:dyDescent="0.3">
      <c r="A11" s="9" t="s">
        <v>273</v>
      </c>
      <c r="B11" s="9"/>
      <c r="C11" s="10"/>
      <c r="D11" s="10"/>
      <c r="E11" s="62"/>
      <c r="F11" s="63"/>
      <c r="G11" s="63"/>
      <c r="H11" s="58"/>
      <c r="I11" s="64" t="str">
        <f>IF(ISBLANK(F11),"",IF(ISNA(AVERAGE(C11:F11)),"N/A",IF(ISERROR(AVERAGE(C11:F11)),"N/A",AVERAGE(C11:F11))))</f>
        <v/>
      </c>
      <c r="J11" s="58"/>
      <c r="K11" s="63"/>
      <c r="L11" s="147"/>
    </row>
    <row r="12" spans="1:12" x14ac:dyDescent="0.3">
      <c r="A12" s="22" t="s">
        <v>274</v>
      </c>
      <c r="B12" s="6" t="s">
        <v>54</v>
      </c>
      <c r="C12" s="8">
        <f>Horticulture!D7</f>
        <v>191.11563828000001</v>
      </c>
      <c r="D12" s="8">
        <f>Horticulture!E7</f>
        <v>148.01364122999999</v>
      </c>
      <c r="E12" s="8">
        <f>Horticulture!F7</f>
        <v>168.40061159999999</v>
      </c>
      <c r="F12" s="8">
        <f>Horticulture!G7</f>
        <v>200.55581000000001</v>
      </c>
      <c r="G12" s="8" t="str">
        <f>Horticulture!H7</f>
        <v>N/A</v>
      </c>
      <c r="H12" s="23" t="str">
        <f t="shared" ref="H12:H17" si="0">IF(ISBLANK(G12),"N/A",IF(ISNA(G12/F12-1),"N/A",IF(ISERROR(G12/F12-1),"N/A",G12/F12-1)))</f>
        <v>N/A</v>
      </c>
      <c r="I12" s="24">
        <f t="shared" ref="I12:I17" si="1">IF(ISBLANK(G12),"",IF(ISNA(AVERAGE(C12:G12)),"N/A",IF(ISERROR(AVERAGE(C12:G12)),"N/A",AVERAGE(C12:G12))))</f>
        <v>177.02142527749999</v>
      </c>
      <c r="J12" s="23" t="str">
        <f t="shared" ref="J12:J17" si="2">IF(ISBLANK(G12),"",IF(ISNA(G12/AVERAGE(C12:G12)-1),"N/A",IF(ISERROR(G12/AVERAGE(C12:G12)-1),"N/A",G12/AVERAGE(C12:G12)-1)))</f>
        <v>N/A</v>
      </c>
      <c r="K12" s="59" t="s">
        <v>410</v>
      </c>
      <c r="L12" s="146" t="s">
        <v>117</v>
      </c>
    </row>
    <row r="13" spans="1:12" x14ac:dyDescent="0.3">
      <c r="A13" s="22" t="s">
        <v>275</v>
      </c>
      <c r="B13" s="6" t="s">
        <v>54</v>
      </c>
      <c r="C13" s="8">
        <f>Horticulture!D8</f>
        <v>27.947807519999998</v>
      </c>
      <c r="D13" s="8">
        <f>Horticulture!E8</f>
        <v>21.909960010000002</v>
      </c>
      <c r="E13" s="8">
        <f>Horticulture!F8</f>
        <v>26.396921049999996</v>
      </c>
      <c r="F13" s="8">
        <f>Horticulture!G8</f>
        <v>32.200299999999999</v>
      </c>
      <c r="G13" s="8" t="str">
        <f>Horticulture!H8</f>
        <v>N/A</v>
      </c>
      <c r="H13" s="23" t="str">
        <f t="shared" si="0"/>
        <v>N/A</v>
      </c>
      <c r="I13" s="24">
        <f t="shared" si="1"/>
        <v>27.113747144999998</v>
      </c>
      <c r="J13" s="23" t="str">
        <f t="shared" si="2"/>
        <v>N/A</v>
      </c>
      <c r="K13" s="59" t="s">
        <v>410</v>
      </c>
      <c r="L13" s="146" t="s">
        <v>117</v>
      </c>
    </row>
    <row r="14" spans="1:12" x14ac:dyDescent="0.3">
      <c r="A14" s="22" t="s">
        <v>276</v>
      </c>
      <c r="B14" s="6" t="s">
        <v>54</v>
      </c>
      <c r="C14" s="8">
        <f>Horticulture!D9</f>
        <v>91.895699999999991</v>
      </c>
      <c r="D14" s="8">
        <f>Horticulture!E9</f>
        <v>55.304160000000003</v>
      </c>
      <c r="E14" s="8">
        <f>Horticulture!F9</f>
        <v>71.418869999999998</v>
      </c>
      <c r="F14" s="8">
        <f>Horticulture!G9</f>
        <v>52.964460000000003</v>
      </c>
      <c r="G14" s="8" t="str">
        <f>Horticulture!H9</f>
        <v>N/A</v>
      </c>
      <c r="H14" s="23" t="str">
        <f t="shared" si="0"/>
        <v>N/A</v>
      </c>
      <c r="I14" s="24">
        <f t="shared" si="1"/>
        <v>67.8957975</v>
      </c>
      <c r="J14" s="23" t="str">
        <f t="shared" si="2"/>
        <v>N/A</v>
      </c>
      <c r="K14" s="59" t="s">
        <v>410</v>
      </c>
      <c r="L14" s="146" t="s">
        <v>117</v>
      </c>
    </row>
    <row r="15" spans="1:12" x14ac:dyDescent="0.3">
      <c r="A15" s="22" t="s">
        <v>277</v>
      </c>
      <c r="B15" s="6" t="s">
        <v>54</v>
      </c>
      <c r="C15" s="8">
        <f>Horticulture!D10</f>
        <v>14.69269749</v>
      </c>
      <c r="D15" s="8">
        <f>Horticulture!E10</f>
        <v>12.287193240000001</v>
      </c>
      <c r="E15" s="8">
        <f>Horticulture!F10</f>
        <v>11.182049429999999</v>
      </c>
      <c r="F15" s="8">
        <f>Horticulture!G10</f>
        <v>12.55725808</v>
      </c>
      <c r="G15" s="8" t="str">
        <f>Horticulture!H10</f>
        <v>N/A</v>
      </c>
      <c r="H15" s="23" t="str">
        <f t="shared" si="0"/>
        <v>N/A</v>
      </c>
      <c r="I15" s="24">
        <f t="shared" si="1"/>
        <v>12.679799559999999</v>
      </c>
      <c r="J15" s="23" t="str">
        <f t="shared" si="2"/>
        <v>N/A</v>
      </c>
      <c r="K15" s="59" t="s">
        <v>410</v>
      </c>
      <c r="L15" s="146" t="s">
        <v>117</v>
      </c>
    </row>
    <row r="16" spans="1:12" x14ac:dyDescent="0.3">
      <c r="A16" s="22" t="s">
        <v>278</v>
      </c>
      <c r="B16" s="6" t="s">
        <v>54</v>
      </c>
      <c r="C16" s="8">
        <f>Horticulture!D11</f>
        <v>107.69782000000001</v>
      </c>
      <c r="D16" s="8">
        <f>Horticulture!E11</f>
        <v>109.30112</v>
      </c>
      <c r="E16" s="8">
        <f>Horticulture!F11</f>
        <v>82.463119999999989</v>
      </c>
      <c r="F16" s="8">
        <f>Horticulture!G11</f>
        <v>51.373050000000006</v>
      </c>
      <c r="G16" s="8" t="str">
        <f>Horticulture!H11</f>
        <v>N/A</v>
      </c>
      <c r="H16" s="23" t="str">
        <f t="shared" si="0"/>
        <v>N/A</v>
      </c>
      <c r="I16" s="24">
        <f t="shared" si="1"/>
        <v>87.708777499999997</v>
      </c>
      <c r="J16" s="23" t="str">
        <f t="shared" si="2"/>
        <v>N/A</v>
      </c>
      <c r="K16" s="59" t="s">
        <v>410</v>
      </c>
      <c r="L16" s="146" t="s">
        <v>117</v>
      </c>
    </row>
    <row r="17" spans="1:12" x14ac:dyDescent="0.3">
      <c r="A17" s="22" t="s">
        <v>279</v>
      </c>
      <c r="B17" s="6" t="s">
        <v>54</v>
      </c>
      <c r="C17" s="8">
        <f>Wine!D6</f>
        <v>509.61309999999997</v>
      </c>
      <c r="D17" s="8">
        <f>Wine!E6</f>
        <v>530.94189000000006</v>
      </c>
      <c r="E17" s="8">
        <f>Wine!F6</f>
        <v>478.70044999999999</v>
      </c>
      <c r="F17" s="8">
        <f>Wine!G6</f>
        <v>436.87246999999996</v>
      </c>
      <c r="G17" s="8">
        <f>Wine!H6</f>
        <v>518.04</v>
      </c>
      <c r="H17" s="23">
        <f t="shared" si="0"/>
        <v>0.18579227480275873</v>
      </c>
      <c r="I17" s="24">
        <f t="shared" si="1"/>
        <v>494.83358200000004</v>
      </c>
      <c r="J17" s="23">
        <f t="shared" si="2"/>
        <v>4.6897419342893265E-2</v>
      </c>
      <c r="K17" s="59" t="s">
        <v>412</v>
      </c>
      <c r="L17" s="146" t="s">
        <v>133</v>
      </c>
    </row>
    <row r="18" spans="1:12" x14ac:dyDescent="0.3">
      <c r="A18" s="15" t="s">
        <v>280</v>
      </c>
      <c r="B18" s="9"/>
      <c r="C18" s="10"/>
      <c r="D18" s="10"/>
      <c r="E18" s="62"/>
      <c r="F18" s="63"/>
      <c r="G18" s="63"/>
      <c r="H18" s="58"/>
      <c r="I18" s="64" t="str">
        <f>IF(ISBLANK(F18),"",IF(ISNA(AVERAGE(C18:F18)),"N/A",IF(ISERROR(AVERAGE(C18:F18)),"N/A",AVERAGE(C18:F18))))</f>
        <v/>
      </c>
      <c r="J18" s="58"/>
      <c r="K18" s="63"/>
      <c r="L18" s="147"/>
    </row>
    <row r="19" spans="1:12" x14ac:dyDescent="0.3">
      <c r="A19" s="22" t="s">
        <v>252</v>
      </c>
      <c r="B19" s="6" t="s">
        <v>54</v>
      </c>
      <c r="C19" s="65">
        <f>+Beef!D7</f>
        <v>450.38299999999998</v>
      </c>
      <c r="D19" s="65">
        <f>+Beef!E7</f>
        <v>500.9359</v>
      </c>
      <c r="E19" s="65">
        <f>+Beef!F7</f>
        <v>535.53969999999993</v>
      </c>
      <c r="F19" s="65">
        <f>+Beef!G7</f>
        <v>516.40499999999997</v>
      </c>
      <c r="G19" s="65">
        <f>+Beef!H7</f>
        <v>395.97500000000002</v>
      </c>
      <c r="H19" s="23">
        <f t="shared" ref="H19:H26" si="3">IF(ISBLANK(G19),"N/A",IF(ISNA(G19/F19-1),"N/A",IF(ISERROR(G19/F19-1),"N/A",G19/F19-1)))</f>
        <v>-0.23320843136685343</v>
      </c>
      <c r="I19" s="24">
        <f t="shared" ref="I19:I26" si="4">IF(ISBLANK(G19),"",IF(ISNA(AVERAGE(C19:G19)),"N/A",IF(ISERROR(AVERAGE(C19:G19)),"N/A",AVERAGE(C19:G19))))</f>
        <v>479.84772000000004</v>
      </c>
      <c r="J19" s="23">
        <f t="shared" ref="J19:J26" si="5">IF(ISBLANK(G19),"",IF(ISNA(G19/AVERAGE(C19:G19)-1),"N/A",IF(ISERROR(G19/AVERAGE(C19:G19)-1),"N/A",G19/AVERAGE(C19:G19)-1)))</f>
        <v>-0.17479028555142451</v>
      </c>
      <c r="K19" s="65" t="s">
        <v>148</v>
      </c>
      <c r="L19" s="148" t="s">
        <v>149</v>
      </c>
    </row>
    <row r="20" spans="1:12" x14ac:dyDescent="0.3">
      <c r="A20" s="22" t="s">
        <v>253</v>
      </c>
      <c r="B20" s="6" t="s">
        <v>54</v>
      </c>
      <c r="C20" s="8">
        <f>SUM('Sheep Meat'!D7:D8)</f>
        <v>164.81399999999999</v>
      </c>
      <c r="D20" s="8">
        <f>SUM('Sheep Meat'!E7:E8)</f>
        <v>192.9409</v>
      </c>
      <c r="E20" s="8">
        <f>SUM('Sheep Meat'!F7:F8)</f>
        <v>187.5352</v>
      </c>
      <c r="F20" s="8">
        <f>SUM('Sheep Meat'!G7:G8)</f>
        <v>193.364</v>
      </c>
      <c r="G20" s="8">
        <f>SUM('Sheep Meat'!H7:H8)</f>
        <v>166.93699999999998</v>
      </c>
      <c r="H20" s="23">
        <f t="shared" si="3"/>
        <v>-0.13666970066816997</v>
      </c>
      <c r="I20" s="24">
        <f t="shared" si="4"/>
        <v>181.11822000000001</v>
      </c>
      <c r="J20" s="23">
        <f t="shared" si="5"/>
        <v>-7.8298141401787369E-2</v>
      </c>
      <c r="K20" s="59" t="s">
        <v>148</v>
      </c>
      <c r="L20" s="146" t="s">
        <v>149</v>
      </c>
    </row>
    <row r="21" spans="1:12" x14ac:dyDescent="0.3">
      <c r="A21" s="22" t="s">
        <v>281</v>
      </c>
      <c r="B21" s="6" t="s">
        <v>54</v>
      </c>
      <c r="C21" s="66">
        <f>'Goat Meat'!D4/1000</f>
        <v>1.385</v>
      </c>
      <c r="D21" s="66">
        <f>'Goat Meat'!E4/1000</f>
        <v>1.4379999999999999</v>
      </c>
      <c r="E21" s="66">
        <f>'Goat Meat'!F4/1000</f>
        <v>0.88400000000000001</v>
      </c>
      <c r="F21" s="66">
        <f>'Goat Meat'!G4/1000</f>
        <v>0.97399999999999998</v>
      </c>
      <c r="G21" s="66">
        <f>'Goat Meat'!H4/1000</f>
        <v>0.51800000000000002</v>
      </c>
      <c r="H21" s="23">
        <f t="shared" si="3"/>
        <v>-0.46817248459958927</v>
      </c>
      <c r="I21" s="24">
        <f t="shared" si="4"/>
        <v>1.0398000000000001</v>
      </c>
      <c r="J21" s="23">
        <f t="shared" si="5"/>
        <v>-0.50182727447586073</v>
      </c>
      <c r="K21" s="149" t="s">
        <v>148</v>
      </c>
      <c r="L21" s="150" t="s">
        <v>149</v>
      </c>
    </row>
    <row r="22" spans="1:12" x14ac:dyDescent="0.3">
      <c r="A22" s="22" t="s">
        <v>22</v>
      </c>
      <c r="B22" s="6" t="s">
        <v>54</v>
      </c>
      <c r="C22" s="65">
        <f>Pork!D5</f>
        <v>65.304000000000002</v>
      </c>
      <c r="D22" s="65">
        <f>Pork!E5</f>
        <v>66.927000000000007</v>
      </c>
      <c r="E22" s="65">
        <f>Pork!F5</f>
        <v>63.62</v>
      </c>
      <c r="F22" s="65">
        <f>Pork!G5</f>
        <v>62.795000000000002</v>
      </c>
      <c r="G22" s="65">
        <f>Pork!H5</f>
        <v>64.649000000000001</v>
      </c>
      <c r="H22" s="23">
        <f t="shared" si="3"/>
        <v>2.9524643681821727E-2</v>
      </c>
      <c r="I22" s="24">
        <f t="shared" si="4"/>
        <v>64.659000000000006</v>
      </c>
      <c r="J22" s="23">
        <f t="shared" si="5"/>
        <v>-1.5465751094212443E-4</v>
      </c>
      <c r="K22" s="65" t="s">
        <v>148</v>
      </c>
      <c r="L22" s="148" t="s">
        <v>149</v>
      </c>
    </row>
    <row r="23" spans="1:12" x14ac:dyDescent="0.3">
      <c r="A23" s="22" t="s">
        <v>23</v>
      </c>
      <c r="B23" s="6" t="s">
        <v>54</v>
      </c>
      <c r="C23" s="8">
        <f>+Poultry!D5</f>
        <v>397.721</v>
      </c>
      <c r="D23" s="8">
        <f>+Poultry!E5</f>
        <v>416.98200000000003</v>
      </c>
      <c r="E23" s="8">
        <f>+Poultry!F5</f>
        <v>462.01299999999998</v>
      </c>
      <c r="F23" s="8">
        <f>+Poultry!G5</f>
        <v>450.339</v>
      </c>
      <c r="G23" s="8">
        <f>+Poultry!H5</f>
        <v>456.375</v>
      </c>
      <c r="H23" s="23">
        <f t="shared" si="3"/>
        <v>1.340323622870776E-2</v>
      </c>
      <c r="I23" s="24">
        <f t="shared" si="4"/>
        <v>436.68599999999998</v>
      </c>
      <c r="J23" s="23">
        <f t="shared" si="5"/>
        <v>4.5087316744754968E-2</v>
      </c>
      <c r="K23" s="59" t="s">
        <v>148</v>
      </c>
      <c r="L23" s="146" t="s">
        <v>149</v>
      </c>
    </row>
    <row r="24" spans="1:12" x14ac:dyDescent="0.3">
      <c r="A24" s="22" t="s">
        <v>24</v>
      </c>
      <c r="B24" s="6" t="s">
        <v>54</v>
      </c>
      <c r="C24" s="65">
        <f>+Wool!D7</f>
        <v>118.956</v>
      </c>
      <c r="D24" s="65">
        <f>+Wool!E7</f>
        <v>117.504</v>
      </c>
      <c r="E24" s="65">
        <f>+Wool!F7</f>
        <v>98.481999999999999</v>
      </c>
      <c r="F24" s="65">
        <f>+Wool!G7</f>
        <v>83.762</v>
      </c>
      <c r="G24" s="65">
        <f>+Wool!H7</f>
        <v>98.31</v>
      </c>
      <c r="H24" s="23">
        <f t="shared" si="3"/>
        <v>0.17368257682481314</v>
      </c>
      <c r="I24" s="24">
        <f t="shared" si="4"/>
        <v>103.4028</v>
      </c>
      <c r="J24" s="23">
        <f t="shared" si="5"/>
        <v>-4.925205120170828E-2</v>
      </c>
      <c r="K24" s="65" t="s">
        <v>148</v>
      </c>
      <c r="L24" s="148" t="s">
        <v>149</v>
      </c>
    </row>
    <row r="25" spans="1:12" x14ac:dyDescent="0.3">
      <c r="A25" s="22" t="s">
        <v>25</v>
      </c>
      <c r="B25" s="6" t="s">
        <v>195</v>
      </c>
      <c r="C25" s="8">
        <f>Eggs!D5</f>
        <v>103.80514806999999</v>
      </c>
      <c r="D25" s="8">
        <f>Eggs!E5</f>
        <v>117.55601026000001</v>
      </c>
      <c r="E25" s="8">
        <f>Eggs!F5</f>
        <v>105.49648742000001</v>
      </c>
      <c r="F25" s="8">
        <f>Eggs!G5</f>
        <v>109.85436179999999</v>
      </c>
      <c r="G25" s="8" t="str">
        <f>Eggs!H5</f>
        <v>N/A</v>
      </c>
      <c r="H25" s="23" t="str">
        <f t="shared" si="3"/>
        <v>N/A</v>
      </c>
      <c r="I25" s="65">
        <f t="shared" si="4"/>
        <v>109.1780018875</v>
      </c>
      <c r="J25" s="23" t="str">
        <f t="shared" si="5"/>
        <v>N/A</v>
      </c>
      <c r="K25" s="59" t="s">
        <v>410</v>
      </c>
      <c r="L25" s="146" t="s">
        <v>117</v>
      </c>
    </row>
    <row r="26" spans="1:12" x14ac:dyDescent="0.3">
      <c r="A26" s="22" t="s">
        <v>282</v>
      </c>
      <c r="B26" s="6" t="s">
        <v>204</v>
      </c>
      <c r="C26" s="8">
        <f>Milk!D7</f>
        <v>1120.9824228975344</v>
      </c>
      <c r="D26" s="8">
        <f>Milk!E7</f>
        <v>1143.600228625</v>
      </c>
      <c r="E26" s="8">
        <f>Milk!F7</f>
        <v>1094.1582611447568</v>
      </c>
      <c r="F26" s="8">
        <f>Milk!G7</f>
        <v>1053.6095819277216</v>
      </c>
      <c r="G26" s="8">
        <f>Milk!H7</f>
        <v>1074.8821350654396</v>
      </c>
      <c r="H26" s="23">
        <f t="shared" si="3"/>
        <v>2.0190166739749049E-2</v>
      </c>
      <c r="I26" s="24">
        <f t="shared" si="4"/>
        <v>1097.4465259320905</v>
      </c>
      <c r="J26" s="23">
        <f t="shared" si="5"/>
        <v>-2.0560811240881494E-2</v>
      </c>
      <c r="K26" s="59" t="s">
        <v>205</v>
      </c>
      <c r="L26" s="146" t="s">
        <v>438</v>
      </c>
    </row>
    <row r="27" spans="1:12" x14ac:dyDescent="0.3">
      <c r="A27" s="9" t="s">
        <v>283</v>
      </c>
      <c r="B27" s="9"/>
      <c r="C27" s="10"/>
      <c r="D27" s="10"/>
      <c r="E27" s="62"/>
      <c r="F27" s="63"/>
      <c r="G27" s="63"/>
      <c r="H27" s="21"/>
      <c r="I27" s="141" t="str">
        <f>IF(ISBLANK(F27),"",IF(ISNA(AVERAGE(C27:F27)),"N/A",IF(ISERROR(AVERAGE(C27:F27)),"N/A",AVERAGE(C27:F27))))</f>
        <v/>
      </c>
      <c r="J27" s="21"/>
      <c r="K27" s="63"/>
      <c r="L27" s="147"/>
    </row>
    <row r="28" spans="1:12" x14ac:dyDescent="0.3">
      <c r="A28" s="22" t="s">
        <v>284</v>
      </c>
      <c r="B28" s="6" t="s">
        <v>285</v>
      </c>
      <c r="C28" s="8">
        <f>Forestry!D8</f>
        <v>4957.2</v>
      </c>
      <c r="D28" s="8">
        <f>Forestry!E8</f>
        <v>4992.8999999999996</v>
      </c>
      <c r="E28" s="8">
        <f>Forestry!F8</f>
        <v>5084.5</v>
      </c>
      <c r="F28" s="8">
        <f>Forestry!G8</f>
        <v>5691.6</v>
      </c>
      <c r="G28" s="8" t="str">
        <f>Forestry!H8</f>
        <v>N/A</v>
      </c>
      <c r="H28" s="23" t="str">
        <f>IF(ISBLANK(#REF!),"N/A",IF(ISNA(#REF!/G28-1),"N/A",IF(ISERROR(#REF!/G28-1),"N/A",#REF!/G28-1)))</f>
        <v>N/A</v>
      </c>
      <c r="I28" s="24">
        <f>IF(ISBLANK(#REF!),"",IF(ISNA(AVERAGE(D28:G28)),"N/A",IF(ISERROR(AVERAGE(D28:G28)),"N/A",AVERAGE(D28:G28))))</f>
        <v>5256.333333333333</v>
      </c>
      <c r="J28" s="23" t="str">
        <f>IF(ISBLANK(#REF!),"",IF(ISNA(#REF!/AVERAGE(D28:G28)-1),"N/A",IF(ISERROR(#REF!/AVERAGE(D28:G28)-1),"N/A",#REF!/AVERAGE(D28:G28)-1)))</f>
        <v>N/A</v>
      </c>
      <c r="K28" s="59" t="s">
        <v>417</v>
      </c>
      <c r="L28" s="146" t="s">
        <v>215</v>
      </c>
    </row>
    <row r="29" spans="1:12" x14ac:dyDescent="0.3">
      <c r="A29" s="22" t="s">
        <v>286</v>
      </c>
      <c r="B29" s="6" t="s">
        <v>285</v>
      </c>
      <c r="C29" s="8">
        <f>Forestry!D9</f>
        <v>1022.7</v>
      </c>
      <c r="D29" s="8">
        <f>Forestry!E9</f>
        <v>1231.3</v>
      </c>
      <c r="E29" s="8">
        <f>Forestry!F9</f>
        <v>1296.5</v>
      </c>
      <c r="F29" s="8">
        <f>Forestry!G9</f>
        <v>894.1</v>
      </c>
      <c r="G29" s="8" t="str">
        <f>Forestry!H9</f>
        <v>N/A</v>
      </c>
      <c r="H29" s="23" t="str">
        <f>IF(ISBLANK(#REF!),"N/A",IF(ISNA(#REF!/G29-1),"N/A",IF(ISERROR(#REF!/G29-1),"N/A",#REF!/G29-1)))</f>
        <v>N/A</v>
      </c>
      <c r="I29" s="24">
        <f>IF(ISBLANK(#REF!),"",IF(ISNA(AVERAGE(D29:G29)),"N/A",IF(ISERROR(AVERAGE(D29:G29)),"N/A",AVERAGE(D29:G29))))</f>
        <v>1140.6333333333334</v>
      </c>
      <c r="J29" s="23" t="str">
        <f>IF(ISBLANK(#REF!),"",IF(ISNA(#REF!/AVERAGE(D29:G29)-1),"N/A",IF(ISERROR(#REF!/AVERAGE(D29:G29)-1),"N/A",#REF!/AVERAGE(D29:G29)-1)))</f>
        <v>N/A</v>
      </c>
      <c r="K29" s="59" t="s">
        <v>417</v>
      </c>
      <c r="L29" s="146" t="s">
        <v>215</v>
      </c>
    </row>
    <row r="30" spans="1:12" x14ac:dyDescent="0.3">
      <c r="A30" s="22" t="s">
        <v>287</v>
      </c>
      <c r="B30" s="6" t="s">
        <v>235</v>
      </c>
      <c r="C30" s="66">
        <f>Fisheries!D6</f>
        <v>5.5178659999999997</v>
      </c>
      <c r="D30" s="66">
        <f>Fisheries!E6</f>
        <v>5.9891009999999998</v>
      </c>
      <c r="E30" s="66">
        <f>Fisheries!F6</f>
        <v>6.2247890000000003</v>
      </c>
      <c r="F30" s="66">
        <f>Fisheries!G6</f>
        <v>5.6131399999999996</v>
      </c>
      <c r="G30" s="65" t="s">
        <v>116</v>
      </c>
      <c r="H30" s="23" t="str">
        <f t="shared" ref="H30:H32" si="6">IF(ISBLANK(G30),"N/A",IF(ISNA(G30/F30-1),"N/A",IF(ISERROR(G30/F30-1),"N/A",G30/F30-1)))</f>
        <v>N/A</v>
      </c>
      <c r="I30" s="65">
        <v>5.8</v>
      </c>
      <c r="J30" s="23" t="s">
        <v>116</v>
      </c>
      <c r="K30" s="149" t="s">
        <v>415</v>
      </c>
      <c r="L30" s="150" t="s">
        <v>231</v>
      </c>
    </row>
    <row r="31" spans="1:12" x14ac:dyDescent="0.3">
      <c r="A31" s="22" t="s">
        <v>288</v>
      </c>
      <c r="B31" s="6" t="s">
        <v>54</v>
      </c>
      <c r="C31" s="66">
        <f>+Fisheries!D7</f>
        <v>4.8509399999999996</v>
      </c>
      <c r="D31" s="66">
        <f>+Fisheries!E7</f>
        <v>4.5992380000000006</v>
      </c>
      <c r="E31" s="66">
        <f>+Fisheries!F7</f>
        <v>4.694</v>
      </c>
      <c r="F31" s="66">
        <f>+Fisheries!G7</f>
        <v>4.827</v>
      </c>
      <c r="G31" s="65" t="s">
        <v>116</v>
      </c>
      <c r="H31" s="23" t="s">
        <v>116</v>
      </c>
      <c r="I31" s="65">
        <v>4.7</v>
      </c>
      <c r="J31" s="23" t="s">
        <v>116</v>
      </c>
      <c r="K31" s="149" t="s">
        <v>414</v>
      </c>
      <c r="L31" s="150" t="s">
        <v>233</v>
      </c>
    </row>
    <row r="32" spans="1:12" x14ac:dyDescent="0.3">
      <c r="A32" s="22" t="s">
        <v>289</v>
      </c>
      <c r="B32" s="6" t="s">
        <v>54</v>
      </c>
      <c r="C32" s="66">
        <f>Fisheries!D8</f>
        <v>10.574399999999999</v>
      </c>
      <c r="D32" s="66">
        <f>Fisheries!E8</f>
        <v>11.311999</v>
      </c>
      <c r="E32" s="66">
        <f>Fisheries!F8</f>
        <v>12.451287000000001</v>
      </c>
      <c r="F32" s="66">
        <f>Fisheries!G8</f>
        <v>11.642189</v>
      </c>
      <c r="G32" s="65" t="s">
        <v>116</v>
      </c>
      <c r="H32" s="23" t="str">
        <f t="shared" si="6"/>
        <v>N/A</v>
      </c>
      <c r="I32" s="65">
        <v>11.5</v>
      </c>
      <c r="J32" s="23" t="s">
        <v>116</v>
      </c>
      <c r="K32" s="25"/>
      <c r="L32" s="25"/>
    </row>
    <row r="33" spans="1:12" x14ac:dyDescent="0.3">
      <c r="A33" s="26" t="s">
        <v>266</v>
      </c>
      <c r="B33" s="27"/>
      <c r="C33" s="27"/>
      <c r="D33" s="27"/>
      <c r="E33" s="28"/>
      <c r="F33" s="28"/>
      <c r="G33" s="28"/>
      <c r="H33" s="28"/>
      <c r="I33" s="28"/>
      <c r="J33" s="28"/>
      <c r="K33" s="13"/>
      <c r="L33" s="13"/>
    </row>
    <row r="34" spans="1:12" x14ac:dyDescent="0.3">
      <c r="A34" s="13" t="s">
        <v>290</v>
      </c>
      <c r="B34" s="13"/>
      <c r="C34" s="13"/>
      <c r="D34" s="13"/>
      <c r="E34" s="29"/>
      <c r="F34" s="29"/>
      <c r="G34" s="29"/>
      <c r="H34" s="29"/>
      <c r="I34" s="29"/>
      <c r="J34" s="29"/>
      <c r="K34" s="13"/>
      <c r="L34" s="13"/>
    </row>
    <row r="35" spans="1:12" x14ac:dyDescent="0.3">
      <c r="A35" s="13" t="s">
        <v>178</v>
      </c>
      <c r="B35" s="13"/>
      <c r="C35" s="13"/>
      <c r="D35" s="13"/>
      <c r="E35" s="29"/>
      <c r="F35" s="29"/>
      <c r="G35" s="29"/>
      <c r="H35" s="29"/>
      <c r="I35" s="29"/>
      <c r="J35" s="29"/>
      <c r="K35" s="13"/>
      <c r="L35" s="13"/>
    </row>
    <row r="36" spans="1:12" x14ac:dyDescent="0.3">
      <c r="A36" s="13" t="s">
        <v>291</v>
      </c>
      <c r="B36" s="27"/>
      <c r="C36" s="27"/>
      <c r="D36" s="27"/>
      <c r="E36" s="28"/>
      <c r="F36" s="28"/>
      <c r="G36" s="28"/>
      <c r="H36" s="28"/>
      <c r="I36" s="28"/>
      <c r="J36" s="28"/>
      <c r="K36" s="13"/>
      <c r="L36" s="13"/>
    </row>
    <row r="37" spans="1:12" x14ac:dyDescent="0.3">
      <c r="A37" s="13" t="s">
        <v>292</v>
      </c>
      <c r="B37" s="27"/>
      <c r="C37" s="27"/>
      <c r="D37" s="27"/>
      <c r="E37" s="28"/>
      <c r="F37" s="28"/>
      <c r="G37" s="28"/>
      <c r="H37" s="28"/>
      <c r="I37" s="28"/>
      <c r="J37" s="28"/>
      <c r="K37" s="13"/>
      <c r="L37" s="13"/>
    </row>
    <row r="38" spans="1:12" x14ac:dyDescent="0.3">
      <c r="A38" s="142" t="s">
        <v>293</v>
      </c>
      <c r="B38" s="27"/>
      <c r="C38" s="27"/>
      <c r="D38" s="27"/>
      <c r="E38" s="28"/>
      <c r="F38" s="28"/>
      <c r="G38" s="28"/>
      <c r="H38" s="28"/>
      <c r="I38" s="28"/>
      <c r="J38" s="28"/>
      <c r="K38" s="13"/>
      <c r="L38" s="13"/>
    </row>
    <row r="39" spans="1:12" x14ac:dyDescent="0.3">
      <c r="A39" s="142" t="s">
        <v>294</v>
      </c>
      <c r="B39" s="27"/>
      <c r="C39" s="27"/>
      <c r="D39" s="27"/>
      <c r="E39" s="28"/>
      <c r="F39" s="28"/>
      <c r="G39" s="28"/>
      <c r="H39" s="28"/>
      <c r="I39" s="28"/>
      <c r="J39" s="28"/>
      <c r="K39" s="13"/>
      <c r="L39" s="13"/>
    </row>
    <row r="40" spans="1:12" x14ac:dyDescent="0.3">
      <c r="A40" s="13"/>
      <c r="B40" s="27"/>
      <c r="C40" s="27"/>
      <c r="D40" s="27"/>
      <c r="E40" s="28"/>
      <c r="F40" s="28"/>
      <c r="G40" s="28"/>
      <c r="H40" s="28"/>
      <c r="I40" s="28"/>
      <c r="J40" s="28"/>
      <c r="K40" s="13"/>
      <c r="L40" s="13"/>
    </row>
    <row r="41" spans="1:12" ht="46.8" x14ac:dyDescent="0.3">
      <c r="A41" s="5" t="s">
        <v>295</v>
      </c>
      <c r="B41" s="5" t="s">
        <v>38</v>
      </c>
      <c r="C41" s="5" t="str">
        <f>C1</f>
        <v>2016-17</v>
      </c>
      <c r="D41" s="5" t="str">
        <f>D1</f>
        <v>2017-18</v>
      </c>
      <c r="E41" s="5" t="str">
        <f>E1</f>
        <v>2018-19</v>
      </c>
      <c r="F41" s="5" t="str">
        <f>F1</f>
        <v>2019-20</v>
      </c>
      <c r="G41" s="5" t="str">
        <f>+'Gross Value of Production'!G1</f>
        <v>2020-21[e]</v>
      </c>
      <c r="H41" s="19" t="s">
        <v>40</v>
      </c>
      <c r="I41" s="19" t="s">
        <v>139</v>
      </c>
      <c r="J41" s="19" t="s">
        <v>42</v>
      </c>
      <c r="K41" s="9" t="s">
        <v>43</v>
      </c>
      <c r="L41" s="9" t="s">
        <v>44</v>
      </c>
    </row>
    <row r="42" spans="1:12" x14ac:dyDescent="0.3">
      <c r="A42" s="9" t="s">
        <v>272</v>
      </c>
      <c r="B42" s="9"/>
      <c r="C42" s="20"/>
      <c r="D42" s="20"/>
      <c r="E42" s="57"/>
      <c r="F42" s="57"/>
      <c r="G42" s="57"/>
      <c r="H42" s="58"/>
      <c r="I42" s="58"/>
      <c r="J42" s="58"/>
      <c r="K42" s="11"/>
      <c r="L42" s="11"/>
    </row>
    <row r="43" spans="1:12" x14ac:dyDescent="0.3">
      <c r="A43" s="22" t="s">
        <v>9</v>
      </c>
      <c r="B43" s="6" t="s">
        <v>49</v>
      </c>
      <c r="C43" s="8">
        <f>+Wheat!D4</f>
        <v>3248.4169999999999</v>
      </c>
      <c r="D43" s="8">
        <f>+Wheat!E4</f>
        <v>2793.4560000000001</v>
      </c>
      <c r="E43" s="8">
        <f>+Wheat!F4</f>
        <v>2381.953</v>
      </c>
      <c r="F43" s="8">
        <f>+Wheat!G4</f>
        <v>2132.0160000000001</v>
      </c>
      <c r="G43" s="8">
        <f>+Wheat!H4</f>
        <v>3800</v>
      </c>
      <c r="H43" s="8">
        <f>+Wheat!I4</f>
        <v>0.78235060149642388</v>
      </c>
      <c r="I43" s="8">
        <f>+Wheat!J4</f>
        <v>2871.1683999999996</v>
      </c>
      <c r="J43" s="8">
        <f>+Wheat!K4</f>
        <v>0.32350300316763048</v>
      </c>
      <c r="K43" s="8" t="str">
        <f>+Wheat!L4</f>
        <v>ABARES (2021b)</v>
      </c>
      <c r="L43" s="8" t="str">
        <f>+Wheat!M4</f>
        <v>Australian Bureau of Agricultural and Resource Economics and Sciences (2021). Australian Crop Report, September 2021. Last accessed September 2021.</v>
      </c>
    </row>
    <row r="44" spans="1:12" x14ac:dyDescent="0.3">
      <c r="A44" s="22" t="s">
        <v>10</v>
      </c>
      <c r="B44" s="6" t="s">
        <v>49</v>
      </c>
      <c r="C44" s="8">
        <f>Barley!D4</f>
        <v>1056.3789999999999</v>
      </c>
      <c r="D44" s="8">
        <f>Barley!E4</f>
        <v>763.47</v>
      </c>
      <c r="E44" s="8">
        <f>Barley!F4</f>
        <v>667.93100000000004</v>
      </c>
      <c r="F44" s="8">
        <f>Barley!G4</f>
        <v>885.40300000000002</v>
      </c>
      <c r="G44" s="8">
        <f>Barley!H4</f>
        <v>950</v>
      </c>
      <c r="H44" s="8">
        <f>Barley!I4</f>
        <v>7.2957737888848406E-2</v>
      </c>
      <c r="I44" s="8">
        <f>Barley!J4</f>
        <v>864.63660000000004</v>
      </c>
      <c r="J44" s="8">
        <f>Barley!K4</f>
        <v>9.8727488519454232E-2</v>
      </c>
      <c r="K44" s="8" t="str">
        <f>Barley!L4</f>
        <v>ABARES (2021b)</v>
      </c>
      <c r="L44" s="8" t="str">
        <f>Barley!M4</f>
        <v>Australian Bureau of Agricultural and Resource Economics and Sciences (2021). Australian Crop Report, September 2021. Last accessed September 2021.</v>
      </c>
    </row>
    <row r="45" spans="1:12" x14ac:dyDescent="0.3">
      <c r="A45" s="22" t="s">
        <v>11</v>
      </c>
      <c r="B45" s="6" t="s">
        <v>49</v>
      </c>
      <c r="C45" s="8">
        <f>Rice!D4</f>
        <v>82.015000000000001</v>
      </c>
      <c r="D45" s="8">
        <f>Rice!E4</f>
        <v>60.055</v>
      </c>
      <c r="E45" s="8">
        <f>Rice!F4</f>
        <v>6.7480000000000002</v>
      </c>
      <c r="F45" s="8">
        <f>Rice!G4</f>
        <v>4.2469999999999999</v>
      </c>
      <c r="G45" s="8">
        <f>Rice!H4</f>
        <v>45.097000000000001</v>
      </c>
      <c r="H45" s="8">
        <f>Rice!I4</f>
        <v>9.6185542736048983</v>
      </c>
      <c r="I45" s="8">
        <f>Rice!J4</f>
        <v>39.632400000000004</v>
      </c>
      <c r="J45" s="8">
        <f>Rice!K4</f>
        <v>0.13788213683753692</v>
      </c>
      <c r="K45" s="8" t="str">
        <f>Rice!L4</f>
        <v>ABARES (2021b)</v>
      </c>
      <c r="L45" s="8" t="str">
        <f>Rice!M4</f>
        <v>Australian Bureau of Agricultural and Resource Economics and Sciences (2021). Australian Crop Report, September 2021. Last accessed September 2021.</v>
      </c>
    </row>
    <row r="46" spans="1:12" x14ac:dyDescent="0.3">
      <c r="A46" s="22" t="s">
        <v>244</v>
      </c>
      <c r="B46" s="6" t="s">
        <v>49</v>
      </c>
      <c r="C46" s="8">
        <f>'Coarse Grains'!D4</f>
        <v>494.57499999999999</v>
      </c>
      <c r="D46" s="8">
        <f>'Coarse Grains'!E4</f>
        <v>517.31500000000005</v>
      </c>
      <c r="E46" s="8">
        <f>'Coarse Grains'!F4</f>
        <v>527.67499999999995</v>
      </c>
      <c r="F46" s="8">
        <f>'Coarse Grains'!G4</f>
        <v>340.565</v>
      </c>
      <c r="G46" s="8">
        <f>'Coarse Grains'!H4</f>
        <v>494.10299999999995</v>
      </c>
      <c r="H46" s="8">
        <f>'Coarse Grains'!I4</f>
        <v>0.45083317428391045</v>
      </c>
      <c r="I46" s="8">
        <f>'Coarse Grains'!J4</f>
        <v>474.84660000000002</v>
      </c>
      <c r="J46" s="8">
        <f>'Coarse Grains'!K4</f>
        <v>4.0552885921474324E-2</v>
      </c>
      <c r="K46" s="8" t="str">
        <f>'Coarse Grains'!L4</f>
        <v>ABARES (2021b)</v>
      </c>
      <c r="L46" s="8" t="str">
        <f>'Coarse Grains'!M4</f>
        <v>Australian Bureau of Agricultural and Resource Economics and Sciences (2021). Australian Crop Report, September 2021. Last accessed September 2021.</v>
      </c>
    </row>
    <row r="47" spans="1:12" x14ac:dyDescent="0.3">
      <c r="A47" s="22" t="s">
        <v>13</v>
      </c>
      <c r="B47" s="6" t="s">
        <v>49</v>
      </c>
      <c r="C47" s="8">
        <f>Pulses!D4</f>
        <v>616</v>
      </c>
      <c r="D47" s="8">
        <f>Pulses!E4</f>
        <v>682.4</v>
      </c>
      <c r="E47" s="8">
        <f>Pulses!F4</f>
        <v>180.74400000000003</v>
      </c>
      <c r="F47" s="8">
        <f>Pulses!G4</f>
        <v>157.57000000000002</v>
      </c>
      <c r="G47" s="8">
        <f>Pulses!H4</f>
        <v>384</v>
      </c>
      <c r="H47" s="8">
        <f>Pulses!I4</f>
        <v>1.4370121215967502</v>
      </c>
      <c r="I47" s="8">
        <f>Pulses!J4</f>
        <v>404.14280000000002</v>
      </c>
      <c r="J47" s="8">
        <f>Pulses!K4</f>
        <v>-4.98407988463484E-2</v>
      </c>
      <c r="K47" s="8" t="str">
        <f>Pulses!L4</f>
        <v>ABARES (2021b)</v>
      </c>
      <c r="L47" s="8" t="str">
        <f>Pulses!M4</f>
        <v>Australian Bureau of Agricultural and Resource Economics and Sciences (2021). Australian Crop Report, September 2021. Last accessed September 2021.</v>
      </c>
    </row>
    <row r="48" spans="1:12" x14ac:dyDescent="0.3">
      <c r="A48" s="22" t="s">
        <v>14</v>
      </c>
      <c r="B48" s="6" t="s">
        <v>49</v>
      </c>
      <c r="C48" s="8">
        <f>Oilseeds!D4</f>
        <v>1174.6209999999999</v>
      </c>
      <c r="D48" s="8">
        <f>Oilseeds!E4</f>
        <v>1244.5119999999999</v>
      </c>
      <c r="E48" s="8">
        <f>Oilseeds!F4</f>
        <v>669.39200000000005</v>
      </c>
      <c r="F48" s="8">
        <f>Oilseeds!G4</f>
        <v>391.75000000000006</v>
      </c>
      <c r="G48" s="8">
        <f>Oilseeds!H4</f>
        <v>838.18600000000004</v>
      </c>
      <c r="H48" s="8">
        <f>Oilseeds!I4</f>
        <v>1.1395941289087426</v>
      </c>
      <c r="I48" s="8">
        <f>Oilseeds!J4</f>
        <v>863.69219999999984</v>
      </c>
      <c r="J48" s="8">
        <f>Oilseeds!K4</f>
        <v>-2.9531585442128305E-2</v>
      </c>
      <c r="K48" s="8" t="str">
        <f>Oilseeds!L4</f>
        <v>ABARES (2021b)</v>
      </c>
      <c r="L48" s="8" t="str">
        <f>Oilseeds!M4</f>
        <v>Australian Bureau of Agricultural and Resource Economics and Sciences (2021). Australian Crop Report, September 2021. Last accessed September 2021.</v>
      </c>
    </row>
    <row r="49" spans="1:12" x14ac:dyDescent="0.3">
      <c r="A49" s="22" t="s">
        <v>15</v>
      </c>
      <c r="B49" s="6" t="s">
        <v>49</v>
      </c>
      <c r="C49" s="8">
        <f>'Cotton Lint'!D4</f>
        <v>370</v>
      </c>
      <c r="D49" s="8">
        <f>'Cotton Lint'!E4</f>
        <v>350.5</v>
      </c>
      <c r="E49" s="8">
        <f>'Cotton Lint'!F4</f>
        <v>250.4</v>
      </c>
      <c r="F49" s="8">
        <f>'Cotton Lint'!G4</f>
        <v>54.628999999999998</v>
      </c>
      <c r="G49" s="8">
        <f>'Cotton Lint'!H4</f>
        <v>192.76</v>
      </c>
      <c r="H49" s="8">
        <f>'Cotton Lint'!I4</f>
        <v>2.5285288033828186</v>
      </c>
      <c r="I49" s="8">
        <f>'Cotton Lint'!J4</f>
        <v>243.65780000000001</v>
      </c>
      <c r="J49" s="8">
        <f>'Cotton Lint'!K4</f>
        <v>-0.20889050135066478</v>
      </c>
      <c r="K49" s="8" t="str">
        <f>'Cotton Lint'!L4</f>
        <v>ABARES (2021b)</v>
      </c>
      <c r="L49" s="8" t="str">
        <f>'Cotton Lint'!M4</f>
        <v>Australian Bureau of Agricultural and Resource Economics and Sciences (2021). Australian Crop Report, September 2021. Last accessed September 2021.</v>
      </c>
    </row>
    <row r="50" spans="1:12" x14ac:dyDescent="0.3">
      <c r="A50" s="22" t="s">
        <v>245</v>
      </c>
      <c r="B50" s="6" t="s">
        <v>49</v>
      </c>
      <c r="C50" s="8">
        <f>Sugarcane!D4</f>
        <v>16.062999999999999</v>
      </c>
      <c r="D50" s="8">
        <f>Sugarcane!E4</f>
        <v>15.558</v>
      </c>
      <c r="E50" s="8">
        <f>Sugarcane!F4</f>
        <v>16.027999999999999</v>
      </c>
      <c r="F50" s="8">
        <f>Sugarcane!G4</f>
        <v>14.353999999999999</v>
      </c>
      <c r="G50" s="8">
        <f>Sugarcane!H4</f>
        <v>14.712</v>
      </c>
      <c r="H50" s="8">
        <f>Sugarcane!I4</f>
        <v>2.4940783056987659E-2</v>
      </c>
      <c r="I50" s="8">
        <f>Sugarcane!J4</f>
        <v>15.343</v>
      </c>
      <c r="J50" s="8">
        <f>Sugarcane!K4</f>
        <v>-4.1126246496773766E-2</v>
      </c>
      <c r="K50" s="8" t="str">
        <f>Sugarcane!L4</f>
        <v>ASMC (2021)</v>
      </c>
      <c r="L50" s="8" t="str">
        <f>Sugarcane!M4</f>
        <v>Australian Sugar Milling Council (2021). Sugar cane statistics. Last accessed September 2021.</v>
      </c>
    </row>
    <row r="51" spans="1:12" x14ac:dyDescent="0.3">
      <c r="A51" s="22" t="s">
        <v>296</v>
      </c>
      <c r="B51" s="6" t="s">
        <v>49</v>
      </c>
      <c r="C51" s="8"/>
      <c r="D51" s="67"/>
      <c r="E51" s="65"/>
      <c r="F51" s="65"/>
      <c r="G51" s="65"/>
      <c r="H51" s="65"/>
      <c r="I51" s="65"/>
      <c r="J51" s="65"/>
      <c r="K51" s="65"/>
      <c r="L51" s="65"/>
    </row>
    <row r="52" spans="1:12" x14ac:dyDescent="0.3">
      <c r="A52" s="9" t="s">
        <v>27</v>
      </c>
      <c r="B52" s="9"/>
      <c r="C52" s="10"/>
      <c r="D52" s="10"/>
      <c r="E52" s="63"/>
      <c r="F52" s="63"/>
      <c r="G52" s="63"/>
      <c r="H52" s="63"/>
      <c r="I52" s="63"/>
      <c r="J52" s="63"/>
      <c r="K52" s="63"/>
      <c r="L52" s="63"/>
    </row>
    <row r="53" spans="1:12" x14ac:dyDescent="0.3">
      <c r="A53" s="22" t="s">
        <v>284</v>
      </c>
      <c r="B53" s="6" t="s">
        <v>49</v>
      </c>
      <c r="C53" s="8">
        <f>+Forestry!D7</f>
        <v>87.1</v>
      </c>
      <c r="D53" s="8">
        <f>+Forestry!E7</f>
        <v>87.1</v>
      </c>
      <c r="E53" s="8">
        <f>+Forestry!F7</f>
        <v>87.1</v>
      </c>
      <c r="F53" s="8" t="str">
        <f>+Forestry!G7</f>
        <v>N/A</v>
      </c>
      <c r="G53" s="8" t="str">
        <f>+Forestry!H7</f>
        <v>N/A</v>
      </c>
      <c r="H53" s="8" t="str">
        <f>+Forestry!I7</f>
        <v>N/A</v>
      </c>
      <c r="I53" s="8">
        <f>+Forestry!J7</f>
        <v>87.09999999999998</v>
      </c>
      <c r="J53" s="8" t="str">
        <f>+Forestry!K7</f>
        <v>N/A</v>
      </c>
      <c r="K53" s="8" t="str">
        <f>+Forestry!L7</f>
        <v>ABARES (2021j)</v>
      </c>
      <c r="L53" s="8" t="str">
        <f>+Forestry!M7</f>
        <v>Australian Bureau of Agricultural and Resource Economics and Sciences (2021). Australian Forest and Wood Product Statistics September – December 2020. Last accessed September 2021.</v>
      </c>
    </row>
    <row r="54" spans="1:12" x14ac:dyDescent="0.3">
      <c r="A54" s="22" t="s">
        <v>286</v>
      </c>
      <c r="B54" s="6" t="s">
        <v>49</v>
      </c>
      <c r="C54" s="8">
        <f>Forestry!D6</f>
        <v>307.10000000000002</v>
      </c>
      <c r="D54" s="8">
        <f>Forestry!E6</f>
        <v>306</v>
      </c>
      <c r="E54" s="8">
        <f>Forestry!F6</f>
        <v>306</v>
      </c>
      <c r="F54" s="8" t="str">
        <f>Forestry!G6</f>
        <v>N/A</v>
      </c>
      <c r="G54" s="8" t="str">
        <f>Forestry!H6</f>
        <v>N/A</v>
      </c>
      <c r="H54" s="8" t="str">
        <f>Forestry!I6</f>
        <v>N/A</v>
      </c>
      <c r="I54" s="8">
        <f>Forestry!J6</f>
        <v>306.36666666666667</v>
      </c>
      <c r="J54" s="8" t="str">
        <f>Forestry!K6</f>
        <v>N/A</v>
      </c>
      <c r="K54" s="8" t="str">
        <f>Forestry!L6</f>
        <v>ABARES (2021j)</v>
      </c>
      <c r="L54" s="8" t="str">
        <f>Forestry!M6</f>
        <v>Australian Bureau of Agricultural and Resource Economics and Sciences (2021). Australian Forest and Wood Product Statistics September – December 2020. Last accessed September 2021.</v>
      </c>
    </row>
    <row r="55" spans="1:12" x14ac:dyDescent="0.3">
      <c r="A55" s="26" t="s">
        <v>266</v>
      </c>
      <c r="B55" s="27"/>
      <c r="C55" s="27"/>
      <c r="D55" s="27"/>
      <c r="E55" s="28"/>
      <c r="F55" s="28"/>
      <c r="G55" s="28"/>
      <c r="H55" s="28"/>
      <c r="I55" s="28"/>
      <c r="J55" s="28"/>
      <c r="K55" s="13"/>
      <c r="L55" s="13"/>
    </row>
    <row r="56" spans="1:12" x14ac:dyDescent="0.3">
      <c r="A56" s="13" t="s">
        <v>290</v>
      </c>
      <c r="B56" s="27"/>
      <c r="C56" s="27"/>
      <c r="D56" s="27"/>
      <c r="E56" s="28"/>
      <c r="F56" s="28"/>
      <c r="G56" s="28"/>
      <c r="H56" s="28"/>
      <c r="I56" s="28"/>
      <c r="J56" s="28"/>
      <c r="K56" s="13"/>
      <c r="L56" s="13"/>
    </row>
    <row r="57" spans="1:12" x14ac:dyDescent="0.3">
      <c r="A57" s="13" t="s">
        <v>292</v>
      </c>
      <c r="B57" s="27"/>
      <c r="C57" s="27"/>
      <c r="D57" s="27"/>
      <c r="E57" s="28"/>
      <c r="F57" s="28"/>
      <c r="G57" s="28"/>
      <c r="H57" s="28"/>
      <c r="I57" s="28"/>
      <c r="J57" s="28"/>
      <c r="K57" s="13"/>
      <c r="L57" s="13"/>
    </row>
    <row r="58" spans="1:12" x14ac:dyDescent="0.3">
      <c r="A58" s="27"/>
      <c r="B58" s="27"/>
      <c r="C58" s="27"/>
      <c r="D58" s="27"/>
      <c r="E58" s="28"/>
      <c r="F58" s="28"/>
      <c r="G58" s="28"/>
      <c r="H58" s="28"/>
      <c r="I58" s="28"/>
      <c r="J58" s="28"/>
      <c r="K58" s="13"/>
      <c r="L58" s="13"/>
    </row>
    <row r="59" spans="1:12" x14ac:dyDescent="0.3">
      <c r="A59" s="27"/>
      <c r="B59" s="27"/>
      <c r="C59" s="27"/>
      <c r="D59" s="27"/>
      <c r="E59" s="28"/>
      <c r="F59" s="28"/>
      <c r="G59" s="28"/>
      <c r="H59" s="28"/>
      <c r="I59" s="28"/>
      <c r="J59" s="28"/>
      <c r="K59" s="13"/>
      <c r="L59" s="13"/>
    </row>
    <row r="60" spans="1:12" ht="46.8" x14ac:dyDescent="0.3">
      <c r="A60" s="5" t="s">
        <v>297</v>
      </c>
      <c r="B60" s="5" t="s">
        <v>38</v>
      </c>
      <c r="C60" s="5" t="str">
        <f t="shared" ref="C60:G60" si="7">C1</f>
        <v>2016-17</v>
      </c>
      <c r="D60" s="5" t="str">
        <f t="shared" si="7"/>
        <v>2017-18</v>
      </c>
      <c r="E60" s="5" t="str">
        <f t="shared" si="7"/>
        <v>2018-19</v>
      </c>
      <c r="F60" s="5" t="str">
        <f t="shared" si="7"/>
        <v>2019-20</v>
      </c>
      <c r="G60" s="5" t="str">
        <f t="shared" si="7"/>
        <v>2020-21[e]</v>
      </c>
      <c r="H60" s="19" t="s">
        <v>40</v>
      </c>
      <c r="I60" s="19" t="s">
        <v>139</v>
      </c>
      <c r="J60" s="19" t="s">
        <v>42</v>
      </c>
      <c r="K60" s="9" t="s">
        <v>43</v>
      </c>
      <c r="L60" s="9" t="s">
        <v>44</v>
      </c>
    </row>
    <row r="61" spans="1:12" x14ac:dyDescent="0.3">
      <c r="A61" s="15" t="s">
        <v>280</v>
      </c>
      <c r="B61" s="9"/>
      <c r="C61" s="10"/>
      <c r="D61" s="10"/>
      <c r="E61" s="63"/>
      <c r="F61" s="63"/>
      <c r="G61" s="63"/>
      <c r="H61" s="58"/>
      <c r="I61" s="58"/>
      <c r="J61" s="58"/>
      <c r="K61" s="25"/>
      <c r="L61" s="25"/>
    </row>
    <row r="62" spans="1:12" x14ac:dyDescent="0.3">
      <c r="A62" s="22" t="s">
        <v>252</v>
      </c>
      <c r="B62" s="6" t="s">
        <v>141</v>
      </c>
      <c r="C62" s="8">
        <f>Beef!D4</f>
        <v>301.14168525475003</v>
      </c>
      <c r="D62" s="8">
        <f>Beef!E4</f>
        <v>329.6789928915</v>
      </c>
      <c r="E62" s="8">
        <f>Beef!F4</f>
        <v>327.25840391524997</v>
      </c>
      <c r="F62" s="8">
        <f>Beef!G4</f>
        <v>309.81085972525005</v>
      </c>
      <c r="G62" s="8">
        <f>Beef!H4</f>
        <v>311.67624999999998</v>
      </c>
      <c r="H62" s="8">
        <f>Beef!I4</f>
        <v>6.0210616128957284E-3</v>
      </c>
      <c r="I62" s="8">
        <f>Beef!J4</f>
        <v>315.91323835735</v>
      </c>
      <c r="J62" s="8">
        <f>Beef!K4</f>
        <v>-1.341187339720562E-2</v>
      </c>
      <c r="K62" s="8" t="str">
        <f>Beef!L4</f>
        <v>MLA (2021a)</v>
      </c>
      <c r="L62" s="8" t="str">
        <f>Beef!M4</f>
        <v>Meat and Livestock Australia (2021). Market Information and Statistics Database Custom Report. Last accessed September 2021.</v>
      </c>
    </row>
    <row r="63" spans="1:12" x14ac:dyDescent="0.3">
      <c r="A63" s="22" t="s">
        <v>298</v>
      </c>
      <c r="B63" s="6" t="s">
        <v>163</v>
      </c>
      <c r="C63" s="8">
        <f>'Sheep Meat'!D3</f>
        <v>832.55055429999993</v>
      </c>
      <c r="D63" s="8">
        <f>'Sheep Meat'!E3</f>
        <v>985.28036025999995</v>
      </c>
      <c r="E63" s="8">
        <f>'Sheep Meat'!F3</f>
        <v>1100.4796549</v>
      </c>
      <c r="F63" s="8">
        <f>'Sheep Meat'!G3</f>
        <v>1359.9500029999999</v>
      </c>
      <c r="G63" s="8">
        <f>'Sheep Meat'!H3</f>
        <v>1213.2577660894401</v>
      </c>
      <c r="H63" s="8">
        <f>'Sheep Meat'!I3</f>
        <v>-0.1078659043251311</v>
      </c>
      <c r="I63" s="8">
        <f>'Sheep Meat'!J3</f>
        <v>1098.303667709888</v>
      </c>
      <c r="J63" s="8">
        <f>'Sheep Meat'!K3</f>
        <v>0.10466513202058847</v>
      </c>
      <c r="K63" s="8" t="str">
        <f>'Sheep Meat'!L3</f>
        <v>ABS (2021a) + DPI (2021e)</v>
      </c>
      <c r="L63" s="8" t="str">
        <f>'Sheep Meat'!M3</f>
        <v>Australian Bureau of Statistics (2021). 7503.0 Value of Agricultural Commodities Produced, Australia 2019-20. Last accessed September 2021. 
&lt;http://www.abs.gov.au/ausstats/abs@.nsf/mf/7503.0&gt;</v>
      </c>
    </row>
    <row r="64" spans="1:12" x14ac:dyDescent="0.3">
      <c r="A64" s="22" t="s">
        <v>299</v>
      </c>
      <c r="B64" s="6" t="s">
        <v>163</v>
      </c>
      <c r="C64" s="8">
        <f>'Sheep Meat'!D4</f>
        <v>26.928532090000001</v>
      </c>
      <c r="D64" s="8">
        <f>'Sheep Meat'!E4</f>
        <v>25.222087399999999</v>
      </c>
      <c r="E64" s="8">
        <f>'Sheep Meat'!F4</f>
        <v>22.36641625</v>
      </c>
      <c r="F64" s="8">
        <f>'Sheep Meat'!G4</f>
        <v>20.371834920000001</v>
      </c>
      <c r="G64" s="8" t="str">
        <f>'Sheep Meat'!H4</f>
        <v>N/A</v>
      </c>
      <c r="H64" s="8" t="str">
        <f>'Sheep Meat'!I4</f>
        <v>N/A</v>
      </c>
      <c r="I64" s="8">
        <f>'Sheep Meat'!J4</f>
        <v>23.722217664999999</v>
      </c>
      <c r="J64" s="8" t="str">
        <f>'Sheep Meat'!K4</f>
        <v>N/A</v>
      </c>
      <c r="K64" s="8" t="str">
        <f>'Sheep Meat'!L4</f>
        <v>ABS (2021b)</v>
      </c>
      <c r="L64" s="8" t="str">
        <f>'Sheep Meat'!M4</f>
        <v>Australian Bureau of Statistics (2021). 7121.0 Agricultural Commodities Produced, Australia 2019-20. Last accessed September 2021.</v>
      </c>
    </row>
    <row r="65" spans="1:12" x14ac:dyDescent="0.3">
      <c r="A65" s="22" t="s">
        <v>300</v>
      </c>
      <c r="B65" s="6" t="s">
        <v>163</v>
      </c>
      <c r="C65" s="8">
        <f>Wool!D4</f>
        <v>26.928532090000001</v>
      </c>
      <c r="D65" s="8">
        <f>Wool!E4</f>
        <v>25.222087399999999</v>
      </c>
      <c r="E65" s="8">
        <f>Wool!F4</f>
        <v>22.36641625</v>
      </c>
      <c r="F65" s="8">
        <f>Wool!G4</f>
        <v>20.371834920000001</v>
      </c>
      <c r="G65" s="8" t="str">
        <f>Wool!H4</f>
        <v>N/A</v>
      </c>
      <c r="H65" s="8" t="str">
        <f>Wool!I4</f>
        <v>N/A</v>
      </c>
      <c r="I65" s="8">
        <f>Wool!J4</f>
        <v>23.722217664999999</v>
      </c>
      <c r="J65" s="8" t="str">
        <f>Wool!K4</f>
        <v>N/A</v>
      </c>
      <c r="K65" s="8" t="str">
        <f>Wool!L4</f>
        <v>ABS (2021b)</v>
      </c>
      <c r="L65" s="8" t="str">
        <f>Wool!M4</f>
        <v>Australian Bureau of Statistics (2021). 7121.0 Agricultural Commodities Produced, Australia 2019-20. Last accessed September 2021.</v>
      </c>
    </row>
    <row r="66" spans="1:12" x14ac:dyDescent="0.3">
      <c r="A66" s="22" t="s">
        <v>301</v>
      </c>
      <c r="B66" s="6" t="s">
        <v>141</v>
      </c>
      <c r="C66" s="8">
        <f>Pork!D3</f>
        <v>224.42336659999998</v>
      </c>
      <c r="D66" s="8">
        <f>Pork!E3</f>
        <v>200.61968869</v>
      </c>
      <c r="E66" s="8">
        <f>Pork!F3</f>
        <v>193.76167734999999</v>
      </c>
      <c r="F66" s="8">
        <f>Pork!G3</f>
        <v>245.90688943999999</v>
      </c>
      <c r="G66" s="8">
        <f>Pork!H3</f>
        <v>235.74987261439861</v>
      </c>
      <c r="H66" s="8">
        <f>Pork!I3</f>
        <v>-4.1304319894134744E-2</v>
      </c>
      <c r="I66" s="8">
        <f>Pork!J3</f>
        <v>220.09229893887974</v>
      </c>
      <c r="J66" s="8">
        <f>Pork!K3</f>
        <v>7.11409429180756E-2</v>
      </c>
      <c r="K66" s="8" t="str">
        <f>Pork!L3</f>
        <v>ABS (2021a) + DPI (2021e)</v>
      </c>
      <c r="L66" s="8" t="str">
        <f>Pork!M3</f>
        <v>Australian Bureau of Statistics (2021). 7503.0 Value of Agricultural Commodities Produced, Australia 2019-20. Last accessed September 2021. 
&lt;http://www.abs.gov.au/ausstats/abs@.nsf/mf/7503.0&gt;</v>
      </c>
    </row>
    <row r="67" spans="1:12" x14ac:dyDescent="0.3">
      <c r="A67" s="22" t="s">
        <v>302</v>
      </c>
      <c r="B67" s="6" t="s">
        <v>163</v>
      </c>
      <c r="C67" s="8">
        <f>Poultry!D3</f>
        <v>771.1375458</v>
      </c>
      <c r="D67" s="8">
        <f>Poultry!E3</f>
        <v>782.76175211999998</v>
      </c>
      <c r="E67" s="8">
        <f>Poultry!F3</f>
        <v>784.82655599999998</v>
      </c>
      <c r="F67" s="8">
        <f>Poultry!G3</f>
        <v>842.78658900000005</v>
      </c>
      <c r="G67" s="8">
        <f>Poultry!H3</f>
        <v>855.27864871511008</v>
      </c>
      <c r="H67" s="8">
        <f>Poultry!I3</f>
        <v>1.4822328544563446E-2</v>
      </c>
      <c r="I67" s="8">
        <f>Poultry!J3</f>
        <v>807.35821832702209</v>
      </c>
      <c r="J67" s="8">
        <f>Poultry!K3</f>
        <v>5.9354607781644919E-2</v>
      </c>
      <c r="K67" s="8" t="str">
        <f>Poultry!L3</f>
        <v>ABS (2021a) + DPI (2021e)</v>
      </c>
      <c r="L67" s="8" t="str">
        <f>Poultry!M3</f>
        <v>Australian Bureau of Statistics (2021). 7503.0 Value of Agricultural Commodities Produced, Australia 2019-20. Last accessed September 2021. 
&lt;http://www.abs.gov.au/ausstats/abs@.nsf/mf/7503.0&gt;</v>
      </c>
    </row>
    <row r="68" spans="1:12" x14ac:dyDescent="0.3">
      <c r="A68" s="22" t="s">
        <v>303</v>
      </c>
      <c r="B68" s="6" t="s">
        <v>163</v>
      </c>
      <c r="C68" s="8">
        <f>Eggs!D3</f>
        <v>255.51483049999999</v>
      </c>
      <c r="D68" s="8">
        <f>Eggs!E3</f>
        <v>263.09533299000003</v>
      </c>
      <c r="E68" s="8">
        <f>Eggs!F3</f>
        <v>238.80816077</v>
      </c>
      <c r="F68" s="8">
        <f>Eggs!G3</f>
        <v>258.97607625000001</v>
      </c>
      <c r="G68" s="8">
        <f>Eggs!H3</f>
        <v>267.61878415671498</v>
      </c>
      <c r="H68" s="8">
        <f>Eggs!I3</f>
        <v>3.3372611215144898E-2</v>
      </c>
      <c r="I68" s="8">
        <f>Eggs!J3</f>
        <v>256.80263693334302</v>
      </c>
      <c r="J68" s="8">
        <f>Eggs!K3</f>
        <v>4.2118520870871867E-2</v>
      </c>
      <c r="K68" s="8" t="str">
        <f>Eggs!L3</f>
        <v>ABS (2021a) + DPI (2021e)</v>
      </c>
      <c r="L68" s="8" t="str">
        <f>Eggs!M3</f>
        <v>Australian Bureau of Statistics (2021). 7503.0 Value of Agricultural Commodities Produced, Australia 2019-20. Last accessed September 2021. 
&lt;http://www.abs.gov.au/ausstats/abs@.nsf/mf/7503.0&gt;</v>
      </c>
    </row>
    <row r="69" spans="1:12" x14ac:dyDescent="0.3">
      <c r="A69" s="22" t="s">
        <v>304</v>
      </c>
      <c r="B69" s="6" t="s">
        <v>141</v>
      </c>
      <c r="C69" s="8">
        <f>Milk!D3</f>
        <v>548.79243439999993</v>
      </c>
      <c r="D69" s="8">
        <f>Milk!E3</f>
        <v>566.22330948000001</v>
      </c>
      <c r="E69" s="8">
        <f>Milk!F3</f>
        <v>592.00293378999993</v>
      </c>
      <c r="F69" s="8">
        <f>Milk!G3</f>
        <v>647.24634882999999</v>
      </c>
      <c r="G69" s="8">
        <f>Milk!H3</f>
        <v>658.76976453916893</v>
      </c>
      <c r="H69" s="8">
        <f>Milk!I3</f>
        <v>1.7803755447982628E-2</v>
      </c>
      <c r="I69" s="8">
        <f>Milk!J3</f>
        <v>602.60695820783371</v>
      </c>
      <c r="J69" s="8">
        <f>Milk!K3</f>
        <v>9.319973087991662E-2</v>
      </c>
      <c r="K69" s="8" t="str">
        <f>Milk!L3</f>
        <v>ABS (2021a) + DPI (2021e)</v>
      </c>
      <c r="L69" s="8" t="str">
        <f>Milk!M3</f>
        <v>Australian Bureau of Statistics (2021). 7503.0 Value of Agricultural Commodities Produced, Australia 2019-20. Last accessed September 2021. 
&lt;http://www.abs.gov.au/ausstats/abs@.nsf/mf/7503.0&gt;</v>
      </c>
    </row>
    <row r="70" spans="1:12" x14ac:dyDescent="0.3">
      <c r="A70" s="22" t="s">
        <v>305</v>
      </c>
      <c r="B70" s="6" t="s">
        <v>141</v>
      </c>
      <c r="C70" s="8">
        <f>Milk!D4</f>
        <v>294.89204999999998</v>
      </c>
      <c r="D70" s="8">
        <f>Milk!E4</f>
        <v>301.50328999999999</v>
      </c>
      <c r="E70" s="8">
        <f>Milk!F4</f>
        <v>262.70961</v>
      </c>
      <c r="F70" s="8">
        <f>Milk!G4</f>
        <v>254.40582000000001</v>
      </c>
      <c r="G70" s="8" t="str">
        <f>Milk!H4</f>
        <v>N/A</v>
      </c>
      <c r="H70" s="8" t="str">
        <f>Milk!I4</f>
        <v>N/A</v>
      </c>
      <c r="I70" s="8">
        <f>Milk!J4</f>
        <v>278.37769250000002</v>
      </c>
      <c r="J70" s="8" t="str">
        <f>Milk!K4</f>
        <v>N/A</v>
      </c>
      <c r="K70" s="8" t="str">
        <f>Milk!L4</f>
        <v>ABS (2021b)</v>
      </c>
      <c r="L70" s="8" t="str">
        <f>Milk!M4</f>
        <v>Australian Bureau of Statistics (2021). 7121.0 Agricultural Commodities Produced, Australia 2019-20. Last accessed September 2021.</v>
      </c>
    </row>
    <row r="71" spans="1:12" x14ac:dyDescent="0.3">
      <c r="A71" s="26" t="s">
        <v>266</v>
      </c>
      <c r="B71" s="27"/>
      <c r="C71" s="27"/>
      <c r="D71" s="27"/>
      <c r="E71" s="28"/>
      <c r="F71" s="28"/>
      <c r="G71" s="28"/>
      <c r="H71" s="28"/>
      <c r="I71" s="28"/>
      <c r="J71" s="28"/>
      <c r="K71" s="13"/>
      <c r="L71" s="13"/>
    </row>
    <row r="72" spans="1:12" x14ac:dyDescent="0.3">
      <c r="A72" s="13" t="s">
        <v>292</v>
      </c>
      <c r="B72" s="27"/>
      <c r="C72" s="27"/>
      <c r="D72" s="27"/>
      <c r="E72" s="28"/>
      <c r="F72" s="28"/>
      <c r="G72" s="28"/>
      <c r="H72" s="28"/>
      <c r="I72" s="28"/>
      <c r="J72" s="28"/>
      <c r="K72" s="13"/>
      <c r="L72" s="13"/>
    </row>
  </sheetData>
  <conditionalFormatting sqref="A42:B52 A32:L32 A28:B29 D28:J29 A2:L2 A61:L70 C42:L54 A3:J27 A30:J31">
    <cfRule type="expression" dxfId="68" priority="13">
      <formula>MOD(ROW(),2)=0</formula>
    </cfRule>
  </conditionalFormatting>
  <conditionalFormatting sqref="B12:B16">
    <cfRule type="expression" dxfId="67" priority="12">
      <formula>MOD(ROW(),2)=0</formula>
    </cfRule>
  </conditionalFormatting>
  <conditionalFormatting sqref="A53:A54">
    <cfRule type="expression" dxfId="66" priority="11">
      <formula>MOD(ROW(),2)=0</formula>
    </cfRule>
  </conditionalFormatting>
  <conditionalFormatting sqref="B53:B54">
    <cfRule type="expression" dxfId="65" priority="10">
      <formula>MOD(ROW(),2)=0</formula>
    </cfRule>
  </conditionalFormatting>
  <conditionalFormatting sqref="B53:B54">
    <cfRule type="expression" dxfId="64" priority="9">
      <formula>MOD(ROW(),2)=0</formula>
    </cfRule>
  </conditionalFormatting>
  <conditionalFormatting sqref="I43:I52">
    <cfRule type="expression" dxfId="63" priority="8">
      <formula>MOD(ROW(),2)=0</formula>
    </cfRule>
  </conditionalFormatting>
  <conditionalFormatting sqref="I53:I54">
    <cfRule type="expression" dxfId="62" priority="7">
      <formula>MOD(ROW(),2)=0</formula>
    </cfRule>
  </conditionalFormatting>
  <conditionalFormatting sqref="C28:C29">
    <cfRule type="expression" dxfId="61" priority="6">
      <formula>MOD(ROW(),2)=0</formula>
    </cfRule>
  </conditionalFormatting>
  <conditionalFormatting sqref="L30:L31">
    <cfRule type="expression" dxfId="60" priority="1">
      <formula>MOD(ROW(),2)=0</formula>
    </cfRule>
  </conditionalFormatting>
  <conditionalFormatting sqref="K3:L9 K11:L29">
    <cfRule type="expression" dxfId="59" priority="5">
      <formula>MOD(ROW(),2)=0</formula>
    </cfRule>
  </conditionalFormatting>
  <conditionalFormatting sqref="K10">
    <cfRule type="expression" dxfId="58" priority="4">
      <formula>MOD(ROW(),2)=0</formula>
    </cfRule>
  </conditionalFormatting>
  <conditionalFormatting sqref="L10">
    <cfRule type="expression" dxfId="57" priority="3">
      <formula>MOD(ROW(),2)=0</formula>
    </cfRule>
  </conditionalFormatting>
  <conditionalFormatting sqref="K30:K31">
    <cfRule type="expression" dxfId="56" priority="2">
      <formula>MOD(ROW(),2)=0</formula>
    </cfRule>
  </conditionalFormatting>
  <pageMargins left="0.7" right="0.7" top="0.75" bottom="0.75" header="0.3" footer="0.3"/>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49E0-1721-46C5-8FB6-C26D53F498F2}">
  <dimension ref="A1:L33"/>
  <sheetViews>
    <sheetView workbookViewId="0"/>
  </sheetViews>
  <sheetFormatPr defaultRowHeight="14.4" x14ac:dyDescent="0.3"/>
  <cols>
    <col min="1" max="1" width="39.33203125" customWidth="1"/>
    <col min="2" max="2" width="24.33203125" customWidth="1"/>
    <col min="3" max="4" width="9" bestFit="1" customWidth="1"/>
    <col min="5" max="5" width="9.6640625" bestFit="1" customWidth="1"/>
    <col min="6" max="7" width="9" bestFit="1" customWidth="1"/>
    <col min="11" max="11" width="28.109375" bestFit="1" customWidth="1"/>
  </cols>
  <sheetData>
    <row r="1" spans="1:12" ht="46.8" x14ac:dyDescent="0.3">
      <c r="A1" s="5" t="s">
        <v>306</v>
      </c>
      <c r="B1" s="5" t="s">
        <v>38</v>
      </c>
      <c r="C1" s="5" t="str">
        <f>+'Gross Value of Production'!C1</f>
        <v>2016-17</v>
      </c>
      <c r="D1" s="5" t="str">
        <f>+'Gross Value of Production'!D1</f>
        <v>2017-18</v>
      </c>
      <c r="E1" s="5" t="str">
        <f>+'Gross Value of Production'!E1</f>
        <v>2018-19</v>
      </c>
      <c r="F1" s="5" t="str">
        <f>+'Gross Value of Production'!F1</f>
        <v>2019-20</v>
      </c>
      <c r="G1" s="5" t="str">
        <f>+'Gross Value of Production'!G1</f>
        <v>2020-21[e]</v>
      </c>
      <c r="H1" s="40" t="s">
        <v>40</v>
      </c>
      <c r="I1" s="19" t="s">
        <v>139</v>
      </c>
      <c r="J1" s="40" t="s">
        <v>42</v>
      </c>
      <c r="K1" s="9" t="s">
        <v>43</v>
      </c>
      <c r="L1" s="9" t="s">
        <v>44</v>
      </c>
    </row>
    <row r="2" spans="1:12" x14ac:dyDescent="0.3">
      <c r="A2" s="9" t="s">
        <v>307</v>
      </c>
      <c r="B2" s="9"/>
      <c r="C2" s="20"/>
      <c r="D2" s="20"/>
      <c r="E2" s="41"/>
      <c r="F2" s="41"/>
      <c r="G2" s="41"/>
      <c r="H2" s="42"/>
      <c r="I2" s="42"/>
      <c r="J2" s="42"/>
      <c r="K2" s="11"/>
      <c r="L2" s="11"/>
    </row>
    <row r="3" spans="1:12" x14ac:dyDescent="0.3">
      <c r="A3" s="22" t="s">
        <v>9</v>
      </c>
      <c r="B3" s="6" t="s">
        <v>56</v>
      </c>
      <c r="C3" s="43">
        <f>Wheat!D7</f>
        <v>231.49299999999999</v>
      </c>
      <c r="D3" s="43">
        <f>Wheat!E7</f>
        <v>271.95299999999997</v>
      </c>
      <c r="E3" s="43">
        <f>Wheat!F7</f>
        <v>351.59199999999998</v>
      </c>
      <c r="F3" s="43">
        <f>Wheat!G7</f>
        <v>341.69600000000003</v>
      </c>
      <c r="G3" s="43">
        <f>Wheat!H7</f>
        <v>308.971</v>
      </c>
      <c r="H3" s="44">
        <f t="shared" ref="H3:H9" si="0">IF(ISBLANK(F3),"N/A",IF(ISNA(F3/E3-1),"N/A",IF(ISERROR(F3/E3-1),"N/A",F3/E3-1)))</f>
        <v>-2.8146260438235093E-2</v>
      </c>
      <c r="I3" s="45">
        <f t="shared" ref="I3:I15" si="1">IF(ISBLANK(F3),"",IF(ISNA(AVERAGE(C3:F3)),"N/A",IF(ISERROR(AVERAGE(C3:F3)-1),"N/A",AVERAGE(C3:F3))))</f>
        <v>299.18349999999998</v>
      </c>
      <c r="J3" s="44">
        <f t="shared" ref="J3:J9" si="2">IF(ISBLANK(F3),"",IF(ISNA(F3/AVERAGE(C3:F3)-1),"N/A",IF(ISERROR(F3/AVERAGE(C3:F3)-1),"N/A",F3/AVERAGE(C3:F3)-1)))</f>
        <v>0.14209506874543565</v>
      </c>
      <c r="K3" s="25" t="str">
        <f>Wheat!L7</f>
        <v>ABARES (2021g)</v>
      </c>
      <c r="L3" s="25" t="str">
        <f>Wheat!M7</f>
        <v>Australian Bureau of Agricultural and Resource Economics and Sciences (2021). Agricultural Commodities, September 2021. Last accessed September 2021.</v>
      </c>
    </row>
    <row r="4" spans="1:12" x14ac:dyDescent="0.3">
      <c r="A4" s="22" t="s">
        <v>10</v>
      </c>
      <c r="B4" s="6" t="s">
        <v>56</v>
      </c>
      <c r="C4" s="43">
        <f>Barley!D7</f>
        <v>196.78800000000001</v>
      </c>
      <c r="D4" s="43">
        <f>Barley!E7</f>
        <v>246.46299999999999</v>
      </c>
      <c r="E4" s="43">
        <f>Barley!F7</f>
        <v>341.726</v>
      </c>
      <c r="F4" s="43">
        <f>Barley!G7</f>
        <v>296.86599999999999</v>
      </c>
      <c r="G4" s="43">
        <f>Barley!H7</f>
        <v>236.15600000000001</v>
      </c>
      <c r="H4" s="44">
        <f t="shared" si="0"/>
        <v>-0.13127476399220428</v>
      </c>
      <c r="I4" s="45">
        <f t="shared" si="1"/>
        <v>270.46074999999996</v>
      </c>
      <c r="J4" s="44">
        <f t="shared" si="2"/>
        <v>9.7630617381635032E-2</v>
      </c>
      <c r="K4" s="25" t="str">
        <f>Barley!L7</f>
        <v>ABARES (2021g)</v>
      </c>
      <c r="L4" s="25" t="str">
        <f>Barley!M7</f>
        <v>Australian Bureau of Agricultural and Resource Economics and Sciences (2021). Agricultural Commodities, September 2021. Last accessed September 2021.</v>
      </c>
    </row>
    <row r="5" spans="1:12" x14ac:dyDescent="0.3">
      <c r="A5" s="22" t="s">
        <v>11</v>
      </c>
      <c r="B5" s="6" t="s">
        <v>56</v>
      </c>
      <c r="C5" s="43">
        <f>Rice!D7</f>
        <v>312.69</v>
      </c>
      <c r="D5" s="43">
        <f>Rice!E7</f>
        <v>386.93</v>
      </c>
      <c r="E5" s="43">
        <f>Rice!F7</f>
        <v>513.37</v>
      </c>
      <c r="F5" s="43">
        <f>Rice!G7</f>
        <v>769.2</v>
      </c>
      <c r="G5" s="43">
        <f>Rice!H7</f>
        <v>435.589</v>
      </c>
      <c r="H5" s="44">
        <f t="shared" si="0"/>
        <v>0.49833453454623378</v>
      </c>
      <c r="I5" s="45">
        <f t="shared" si="1"/>
        <v>495.54750000000001</v>
      </c>
      <c r="J5" s="44">
        <f t="shared" si="2"/>
        <v>0.55222254173414265</v>
      </c>
      <c r="K5" s="25" t="str">
        <f>Rice!L7</f>
        <v>ABARES (2021g)</v>
      </c>
      <c r="L5" s="25" t="str">
        <f>Rice!M7</f>
        <v>Australian Bureau of Agricultural and Resource Economics and Sciences (2021). Agricultural Commodities, September 2021. Last accessed September 2021.</v>
      </c>
    </row>
    <row r="6" spans="1:12" x14ac:dyDescent="0.3">
      <c r="A6" s="22" t="s">
        <v>244</v>
      </c>
      <c r="B6" s="6" t="s">
        <v>56</v>
      </c>
      <c r="C6" s="43">
        <f>'Coarse Grains'!D7</f>
        <v>244.59049999999999</v>
      </c>
      <c r="D6" s="43">
        <f>'Coarse Grains'!E7</f>
        <v>276.17049999999995</v>
      </c>
      <c r="E6" s="43">
        <f>'Coarse Grains'!F7</f>
        <v>376.20050000000003</v>
      </c>
      <c r="F6" s="43">
        <f>'Coarse Grains'!G7</f>
        <v>394.14825000000002</v>
      </c>
      <c r="G6" s="43">
        <f>'Coarse Grains'!H7</f>
        <v>294.74950000000001</v>
      </c>
      <c r="H6" s="44">
        <f t="shared" si="0"/>
        <v>4.770793765558512E-2</v>
      </c>
      <c r="I6" s="45">
        <f t="shared" si="1"/>
        <v>322.77743750000002</v>
      </c>
      <c r="J6" s="44">
        <f t="shared" si="2"/>
        <v>0.22111462639020418</v>
      </c>
      <c r="K6" s="25" t="str">
        <f>'Coarse Grains'!L7</f>
        <v>ABARES (2021g)</v>
      </c>
      <c r="L6" s="25" t="str">
        <f>'Coarse Grains'!M7</f>
        <v>Australian Bureau of Agricultural and Resource Economics and Sciences (2021). Agricultural Commodities, September 2021. Last accessed September 2021.</v>
      </c>
    </row>
    <row r="7" spans="1:12" x14ac:dyDescent="0.3">
      <c r="A7" s="22" t="s">
        <v>308</v>
      </c>
      <c r="B7" s="6" t="s">
        <v>56</v>
      </c>
      <c r="C7" s="43">
        <f>Pulses!D7</f>
        <v>832.61400000000003</v>
      </c>
      <c r="D7" s="43">
        <f>Pulses!E7</f>
        <v>651.35900000000004</v>
      </c>
      <c r="E7" s="43">
        <f>Pulses!F7</f>
        <v>1126.117</v>
      </c>
      <c r="F7" s="43">
        <f>Pulses!G7</f>
        <v>760.78099999999995</v>
      </c>
      <c r="G7" s="43">
        <f>Pulses!H7</f>
        <v>645.995</v>
      </c>
      <c r="H7" s="44">
        <f t="shared" si="0"/>
        <v>-0.32442099710776062</v>
      </c>
      <c r="I7" s="45">
        <f t="shared" si="1"/>
        <v>842.71775000000002</v>
      </c>
      <c r="J7" s="44">
        <f t="shared" si="2"/>
        <v>-9.7229173112824641E-2</v>
      </c>
      <c r="K7" s="25" t="str">
        <f>Pulses!L7</f>
        <v>ABARES (2021g)</v>
      </c>
      <c r="L7" s="25" t="str">
        <f>Pulses!M7</f>
        <v>Australian Bureau of Agricultural and Resource Economics and Sciences (2021). Agricultural Commodities, September 2021. Last accessed September 2021.</v>
      </c>
    </row>
    <row r="8" spans="1:12" x14ac:dyDescent="0.3">
      <c r="A8" s="22" t="s">
        <v>309</v>
      </c>
      <c r="B8" s="6" t="s">
        <v>56</v>
      </c>
      <c r="C8" s="43">
        <f>Oilseeds!D7</f>
        <v>559.226</v>
      </c>
      <c r="D8" s="43">
        <f>Oilseeds!E7</f>
        <v>539.11599999999999</v>
      </c>
      <c r="E8" s="43">
        <f>Oilseeds!F7</f>
        <v>573.82399999999996</v>
      </c>
      <c r="F8" s="43">
        <f>Oilseeds!G7</f>
        <v>596.50900000000001</v>
      </c>
      <c r="G8" s="43">
        <f>Oilseeds!H7</f>
        <v>679.20299999999997</v>
      </c>
      <c r="H8" s="44">
        <f t="shared" si="0"/>
        <v>3.9533027548516619E-2</v>
      </c>
      <c r="I8" s="45">
        <f t="shared" si="1"/>
        <v>567.16875000000005</v>
      </c>
      <c r="J8" s="44">
        <f t="shared" si="2"/>
        <v>5.1731076509416329E-2</v>
      </c>
      <c r="K8" s="25" t="str">
        <f>Oilseeds!L7</f>
        <v>ABARES (2021g)</v>
      </c>
      <c r="L8" s="25" t="str">
        <f>Oilseeds!M7</f>
        <v>Australian Bureau of Agricultural and Resource Economics and Sciences (2021). Agricultural Commodities, September 2021. Last accessed September 2021.</v>
      </c>
    </row>
    <row r="9" spans="1:12" x14ac:dyDescent="0.3">
      <c r="A9" s="22" t="s">
        <v>15</v>
      </c>
      <c r="B9" s="6" t="s">
        <v>101</v>
      </c>
      <c r="C9" s="43">
        <f>'Cotton Lint'!D7</f>
        <v>492.76479</v>
      </c>
      <c r="D9" s="43">
        <f>'Cotton Lint'!E7</f>
        <v>600.08585000000005</v>
      </c>
      <c r="E9" s="43">
        <f>'Cotton Lint'!F7</f>
        <v>619.2650799999999</v>
      </c>
      <c r="F9" s="43">
        <f>'Cotton Lint'!G7</f>
        <v>558.14760000000001</v>
      </c>
      <c r="G9" s="43">
        <f>'Cotton Lint'!H7</f>
        <v>582.89741000000004</v>
      </c>
      <c r="H9" s="44">
        <f t="shared" si="0"/>
        <v>-9.869356754299774E-2</v>
      </c>
      <c r="I9" s="45">
        <f t="shared" si="1"/>
        <v>567.56583000000001</v>
      </c>
      <c r="J9" s="44">
        <f t="shared" si="2"/>
        <v>-1.6594075087289828E-2</v>
      </c>
      <c r="K9" s="25" t="str">
        <f>'Cotton Lint'!L7</f>
        <v>ABARES (2021g)</v>
      </c>
      <c r="L9" s="25" t="str">
        <f>'Cotton Lint'!M7</f>
        <v>Australian Bureau of Agricultural and Resource Economics and Sciences (2021). Agricultural Commodities, September 2021. Last accessed September 2021.</v>
      </c>
    </row>
    <row r="10" spans="1:12" x14ac:dyDescent="0.3">
      <c r="A10" s="22" t="s">
        <v>245</v>
      </c>
      <c r="B10" s="6" t="s">
        <v>56</v>
      </c>
      <c r="C10" s="43">
        <v>44.4</v>
      </c>
      <c r="D10" s="43">
        <v>39.4</v>
      </c>
      <c r="E10" s="43">
        <v>39</v>
      </c>
      <c r="F10" s="43">
        <v>41.4</v>
      </c>
      <c r="G10" s="43">
        <v>42.8</v>
      </c>
      <c r="H10" s="44">
        <v>0.03</v>
      </c>
      <c r="I10" s="45">
        <v>41.4</v>
      </c>
      <c r="J10" s="44">
        <v>0.03</v>
      </c>
      <c r="K10" s="25" t="str">
        <f>Sugarcane!L7</f>
        <v>ASMC (2021)</v>
      </c>
      <c r="L10" s="25" t="str">
        <f>Sugarcane!M7</f>
        <v>Australian Sugar Milling Council (2021). Sugar cane statistics. Last accessed September 2021.</v>
      </c>
    </row>
    <row r="11" spans="1:12" x14ac:dyDescent="0.3">
      <c r="A11" s="9" t="s">
        <v>310</v>
      </c>
      <c r="B11" s="9"/>
      <c r="C11" s="10"/>
      <c r="D11" s="10"/>
      <c r="E11" s="10"/>
      <c r="F11" s="10"/>
      <c r="G11" s="10"/>
      <c r="H11" s="46"/>
      <c r="I11" s="47" t="str">
        <f t="shared" si="1"/>
        <v/>
      </c>
      <c r="J11" s="46"/>
      <c r="K11" s="10"/>
      <c r="L11" s="10"/>
    </row>
    <row r="12" spans="1:12" x14ac:dyDescent="0.3">
      <c r="A12" s="22" t="s">
        <v>311</v>
      </c>
      <c r="B12" s="6" t="s">
        <v>312</v>
      </c>
      <c r="C12" s="48">
        <f>Horticulture!D13</f>
        <v>99.375</v>
      </c>
      <c r="D12" s="48">
        <f>Horticulture!E13</f>
        <v>99.474999999999994</v>
      </c>
      <c r="E12" s="48">
        <f>Horticulture!F13</f>
        <v>103.125</v>
      </c>
      <c r="F12" s="48">
        <f>Horticulture!G13</f>
        <v>106.35</v>
      </c>
      <c r="G12" s="48">
        <f>Horticulture!H13</f>
        <v>111.27500000000001</v>
      </c>
      <c r="H12" s="49">
        <f>IF(ISBLANK(F12),"N/A",IF(ISNA(F12/E12-1),"N/A",IF(ISERROR(F12/E12-1),"N/A",F12/E12-1)))</f>
        <v>3.1272727272727119E-2</v>
      </c>
      <c r="I12" s="50">
        <f t="shared" si="1"/>
        <v>102.08125000000001</v>
      </c>
      <c r="J12" s="49">
        <f>IF(ISBLANK(F12),"",IF(ISNA(F12/AVERAGE(C12:F12)-1),"N/A",IF(ISERROR(F12/AVERAGE(C12:F12)-1),"N/A",F12/AVERAGE(C12:F12)-1)))</f>
        <v>4.1817179942447602E-2</v>
      </c>
      <c r="K12" s="25" t="str">
        <f>Horticulture!L13</f>
        <v>ABS (2021f)</v>
      </c>
      <c r="L12" s="25" t="str">
        <f>Horticulture!M13</f>
        <v>Australian Bureau of Statistics (2021). 6401.0 Consumer Price Index, Australia, June 2021. Last accessed September 2021</v>
      </c>
    </row>
    <row r="13" spans="1:12" x14ac:dyDescent="0.3">
      <c r="A13" s="22" t="s">
        <v>313</v>
      </c>
      <c r="B13" s="6" t="s">
        <v>312</v>
      </c>
      <c r="C13" s="48">
        <f>Horticulture!D14</f>
        <v>128.02500000000001</v>
      </c>
      <c r="D13" s="48">
        <f>Horticulture!E14</f>
        <v>116.875</v>
      </c>
      <c r="E13" s="48">
        <f>Horticulture!F14</f>
        <v>121.72500000000001</v>
      </c>
      <c r="F13" s="48">
        <f>Horticulture!G14</f>
        <v>126.02499999999999</v>
      </c>
      <c r="G13" s="48">
        <f>Horticulture!H14</f>
        <v>126.77499999999999</v>
      </c>
      <c r="H13" s="49">
        <f>IF(ISBLANK(F13),"N/A",IF(ISNA(F13/E13-1),"N/A",IF(ISERROR(F13/E13-1),"N/A",F13/E13-1)))</f>
        <v>3.5325528856027688E-2</v>
      </c>
      <c r="I13" s="50">
        <f t="shared" si="1"/>
        <v>123.16249999999999</v>
      </c>
      <c r="J13" s="49">
        <f>IF(ISBLANK(F13),"",IF(ISNA(F13/AVERAGE(C13:F13)-1),"N/A",IF(ISERROR(F13/AVERAGE(C13:F13)-1),"N/A",F13/AVERAGE(C13:F13)-1)))</f>
        <v>2.3241652288642944E-2</v>
      </c>
      <c r="K13" s="25" t="str">
        <f>Horticulture!L14</f>
        <v>ABS (2021f)</v>
      </c>
      <c r="L13" s="25" t="str">
        <f>Horticulture!M14</f>
        <v>Australian Bureau of Statistics (2021). 6401.0 Consumer Price Index, Australia, June 2021. Last accessed September 2021</v>
      </c>
    </row>
    <row r="14" spans="1:12" x14ac:dyDescent="0.3">
      <c r="A14" s="22" t="s">
        <v>131</v>
      </c>
      <c r="B14" s="6" t="s">
        <v>56</v>
      </c>
      <c r="C14" s="43">
        <f>Wine!D7</f>
        <v>584.66499999999996</v>
      </c>
      <c r="D14" s="43">
        <f>Wine!E7</f>
        <v>618.45500000000004</v>
      </c>
      <c r="E14" s="43">
        <f>Wine!F7</f>
        <v>682.798</v>
      </c>
      <c r="F14" s="43">
        <f>Wine!G7</f>
        <v>703.72400000000005</v>
      </c>
      <c r="G14" s="43">
        <f>Wine!H7</f>
        <v>701</v>
      </c>
      <c r="H14" s="44">
        <f>IF(ISBLANK(F14),"N/A",IF(ISNA(F14/E14-1),"N/A",IF(ISERROR(F14/E14-1),"N/A",F14/E14-1)))</f>
        <v>3.0647424274822255E-2</v>
      </c>
      <c r="I14" s="45">
        <f t="shared" si="1"/>
        <v>647.41049999999996</v>
      </c>
      <c r="J14" s="44">
        <f>IF(ISBLANK(F14),"",IF(ISNA(F14/AVERAGE(C14:F14)-1),"N/A",IF(ISERROR(F14/AVERAGE(C14:F14)-1),"N/A",F14/AVERAGE(C14:F14)-1)))</f>
        <v>8.6982679459168599E-2</v>
      </c>
      <c r="K14" s="25" t="str">
        <f>Wine!L7</f>
        <v>ABARES (2021g)</v>
      </c>
      <c r="L14" s="25" t="str">
        <f>Wine!M7</f>
        <v>Australian Bureau of Agricultural and Resource Economics and Sciences (2021). Agricultural Commodities, September 2021. Last accessed September 2021.</v>
      </c>
    </row>
    <row r="15" spans="1:12" x14ac:dyDescent="0.3">
      <c r="A15" s="15" t="s">
        <v>280</v>
      </c>
      <c r="B15" s="9"/>
      <c r="C15" s="10"/>
      <c r="D15" s="10"/>
      <c r="E15" s="10"/>
      <c r="F15" s="10"/>
      <c r="G15" s="10"/>
      <c r="H15" s="46"/>
      <c r="I15" s="47" t="str">
        <f t="shared" si="1"/>
        <v/>
      </c>
      <c r="J15" s="46"/>
      <c r="K15" s="10"/>
      <c r="L15" s="10"/>
    </row>
    <row r="16" spans="1:12" x14ac:dyDescent="0.3">
      <c r="A16" s="22" t="s">
        <v>314</v>
      </c>
      <c r="B16" s="6" t="s">
        <v>315</v>
      </c>
      <c r="C16" s="48">
        <f>Beef!D10</f>
        <v>660.625</v>
      </c>
      <c r="D16" s="48">
        <f>Beef!E10</f>
        <v>541.30711206896547</v>
      </c>
      <c r="E16" s="48">
        <f>Beef!F10</f>
        <v>484.4657894736842</v>
      </c>
      <c r="F16" s="48">
        <f>Beef!G10</f>
        <v>600.6649746192893</v>
      </c>
      <c r="G16" s="48">
        <f>Beef!H10</f>
        <v>837.74095022624431</v>
      </c>
      <c r="H16" s="51">
        <f>Beef!I10</f>
        <v>0.39468919551571569</v>
      </c>
      <c r="I16" s="48">
        <f>Beef!J10</f>
        <v>624.96076527763671</v>
      </c>
      <c r="J16" s="51">
        <f>Beef!K10</f>
        <v>0.34046966909047605</v>
      </c>
      <c r="K16" s="48" t="str">
        <f>Beef!L10</f>
        <v>MLA (2021a)</v>
      </c>
      <c r="L16" s="48" t="str">
        <f>Beef!M10</f>
        <v>Meat and Livestock Australia (2021). Market Information and Statistics Database Custom Report. Last accessed September 2021.</v>
      </c>
    </row>
    <row r="17" spans="1:12" x14ac:dyDescent="0.3">
      <c r="A17" s="22" t="s">
        <v>316</v>
      </c>
      <c r="B17" s="6" t="s">
        <v>315</v>
      </c>
      <c r="C17" s="48">
        <f>Beef!D11</f>
        <v>490.04568245614018</v>
      </c>
      <c r="D17" s="48">
        <f>Beef!E11</f>
        <v>418.92622950819674</v>
      </c>
      <c r="E17" s="48">
        <f>Beef!F11</f>
        <v>393.94657258064518</v>
      </c>
      <c r="F17" s="48">
        <f>Beef!G11</f>
        <v>501.63277706550838</v>
      </c>
      <c r="G17" s="48">
        <f>Beef!H11</f>
        <v>595.88056680161947</v>
      </c>
      <c r="H17" s="51">
        <f>Beef!I11</f>
        <v>0.18788204049872759</v>
      </c>
      <c r="I17" s="48">
        <f>Beef!J11</f>
        <v>480.08636568242201</v>
      </c>
      <c r="J17" s="51">
        <f>Beef!K11</f>
        <v>0.24119452122869811</v>
      </c>
      <c r="K17" s="48" t="str">
        <f>Beef!L11</f>
        <v>MLA (2021a)</v>
      </c>
      <c r="L17" s="48" t="str">
        <f>Beef!M11</f>
        <v>Meat and Livestock Australia (2021). Market Information and Statistics Database Custom Report. Last accessed September 2021.</v>
      </c>
    </row>
    <row r="18" spans="1:12" x14ac:dyDescent="0.3">
      <c r="A18" s="22" t="s">
        <v>317</v>
      </c>
      <c r="B18" s="6" t="s">
        <v>315</v>
      </c>
      <c r="C18" s="48">
        <f>Beef!D12</f>
        <v>656.71793960483865</v>
      </c>
      <c r="D18" s="48">
        <f>Beef!E12</f>
        <v>557.45081967213116</v>
      </c>
      <c r="E18" s="48">
        <f>Beef!F12</f>
        <v>532.55141129032256</v>
      </c>
      <c r="F18" s="48">
        <f>Beef!G12</f>
        <v>613.5978387600137</v>
      </c>
      <c r="G18" s="48">
        <f>Beef!H12</f>
        <v>795.77947154471542</v>
      </c>
      <c r="H18" s="51">
        <f>Beef!I12</f>
        <v>0.29690722697599892</v>
      </c>
      <c r="I18" s="48">
        <f>Beef!J12</f>
        <v>631.21949617440418</v>
      </c>
      <c r="J18" s="51">
        <f>Beef!K12</f>
        <v>0.2607016677521059</v>
      </c>
      <c r="K18" s="48" t="str">
        <f>Beef!L12</f>
        <v>MLA (2021a)</v>
      </c>
      <c r="L18" s="48" t="str">
        <f>Beef!M12</f>
        <v>Meat and Livestock Australia (2021). Market Information and Statistics Database Custom Report. Last accessed September 2021.</v>
      </c>
    </row>
    <row r="19" spans="1:12" x14ac:dyDescent="0.3">
      <c r="A19" s="22" t="s">
        <v>318</v>
      </c>
      <c r="B19" s="6" t="s">
        <v>315</v>
      </c>
      <c r="C19" s="48">
        <f>'Sheep Meat'!D9</f>
        <v>611.42083333333335</v>
      </c>
      <c r="D19" s="48">
        <f>'Sheep Meat'!E9</f>
        <v>615.53974895397494</v>
      </c>
      <c r="E19" s="48">
        <f>'Sheep Meat'!F9</f>
        <v>737.33898305084745</v>
      </c>
      <c r="F19" s="48">
        <f>'Sheep Meat'!G9</f>
        <v>845.41255144032925</v>
      </c>
      <c r="G19" s="48">
        <f>'Sheep Meat'!H9</f>
        <v>789.11157024793386</v>
      </c>
      <c r="H19" s="51">
        <f>'Sheep Meat'!I9</f>
        <v>-6.6595866238885915E-2</v>
      </c>
      <c r="I19" s="48">
        <f>'Sheep Meat'!J9</f>
        <v>719.76473740528377</v>
      </c>
      <c r="J19" s="51">
        <f>'Sheep Meat'!K9</f>
        <v>9.634652718976211E-2</v>
      </c>
      <c r="K19" s="48" t="str">
        <f>'Sheep Meat'!L9</f>
        <v>MLA (2021a)</v>
      </c>
      <c r="L19" s="48" t="str">
        <f>'Sheep Meat'!M9</f>
        <v>Meat and Livestock Australia (2021). Market Information and Statistics Database Custom Report. Last accessed September 2021.</v>
      </c>
    </row>
    <row r="20" spans="1:12" x14ac:dyDescent="0.3">
      <c r="A20" s="22" t="s">
        <v>319</v>
      </c>
      <c r="B20" s="6" t="s">
        <v>315</v>
      </c>
      <c r="C20" s="48">
        <f>'Sheep Meat'!D10</f>
        <v>423.93571526431714</v>
      </c>
      <c r="D20" s="48">
        <f>'Sheep Meat'!E10</f>
        <v>434.9590163934426</v>
      </c>
      <c r="E20" s="48">
        <f>'Sheep Meat'!F10</f>
        <v>469.62799999999999</v>
      </c>
      <c r="F20" s="48">
        <f>'Sheep Meat'!G10</f>
        <v>616.18660357069757</v>
      </c>
      <c r="G20" s="48">
        <f>'Sheep Meat'!H10</f>
        <v>639.7822580645161</v>
      </c>
      <c r="H20" s="51">
        <f>'Sheep Meat'!I10</f>
        <v>3.8293033891171335E-2</v>
      </c>
      <c r="I20" s="48">
        <f>'Sheep Meat'!J10</f>
        <v>516.89831865859469</v>
      </c>
      <c r="J20" s="51">
        <f>'Sheep Meat'!K10</f>
        <v>0.23773329293238588</v>
      </c>
      <c r="K20" s="48" t="str">
        <f>'Sheep Meat'!L10</f>
        <v>MLA (2021a)</v>
      </c>
      <c r="L20" s="48" t="str">
        <f>'Sheep Meat'!M10</f>
        <v>Meat and Livestock Australia (2021). Market Information and Statistics Database Custom Report. Last accessed September 2021.</v>
      </c>
    </row>
    <row r="21" spans="1:12" x14ac:dyDescent="0.3">
      <c r="A21" s="22" t="s">
        <v>320</v>
      </c>
      <c r="B21" s="6" t="s">
        <v>315</v>
      </c>
      <c r="C21" s="48">
        <f>+'Goat Meat'!D5</f>
        <v>615.59183673469386</v>
      </c>
      <c r="D21" s="48">
        <f>+'Goat Meat'!E5</f>
        <v>498.20833333333331</v>
      </c>
      <c r="E21" s="48">
        <f>+'Goat Meat'!F5</f>
        <v>620.58333333333337</v>
      </c>
      <c r="F21" s="48">
        <f>+'Goat Meat'!G5</f>
        <v>860.01960784313724</v>
      </c>
      <c r="G21" s="48">
        <f>+'Goat Meat'!H5</f>
        <v>817.08500000000004</v>
      </c>
      <c r="H21" s="51">
        <f>+'Goat Meat'!I5</f>
        <v>-4.9922824377009123E-2</v>
      </c>
      <c r="I21" s="48">
        <f>+'Goat Meat'!J5</f>
        <v>682.29762224889953</v>
      </c>
      <c r="J21" s="51">
        <f>+'Goat Meat'!K5</f>
        <v>0.19754924149791431</v>
      </c>
      <c r="K21" s="48" t="str">
        <f>+'Goat Meat'!L5</f>
        <v>MLA (2021a)</v>
      </c>
      <c r="L21" s="48" t="str">
        <f>+'Goat Meat'!M5</f>
        <v>Meat and Livestock Australia (2021). Market Information and Statistics Database Custom Report. Last accessed September 2021.</v>
      </c>
    </row>
    <row r="22" spans="1:12" x14ac:dyDescent="0.3">
      <c r="A22" s="22" t="s">
        <v>22</v>
      </c>
      <c r="B22" s="6" t="s">
        <v>315</v>
      </c>
      <c r="C22" s="48">
        <f>Pork!D6</f>
        <v>337.916</v>
      </c>
      <c r="D22" s="48">
        <f>Pork!E6</f>
        <v>274.49</v>
      </c>
      <c r="E22" s="48">
        <f>Pork!F6</f>
        <v>294.75799999999998</v>
      </c>
      <c r="F22" s="48">
        <f>Pork!G6</f>
        <v>377.21899999999999</v>
      </c>
      <c r="G22" s="48">
        <f>Pork!H6</f>
        <v>341.916</v>
      </c>
      <c r="H22" s="51">
        <f>Pork!I6</f>
        <v>-9.3587544635874598E-2</v>
      </c>
      <c r="I22" s="48">
        <f>Pork!J6</f>
        <v>325.25979999999998</v>
      </c>
      <c r="J22" s="51">
        <f>Pork!K6</f>
        <v>5.1208910538591113E-2</v>
      </c>
      <c r="K22" s="48" t="str">
        <f>Pork!L6</f>
        <v>ABARES (2021g)</v>
      </c>
      <c r="L22" s="48" t="str">
        <f>Pork!M6</f>
        <v>Australian Bureau of Agricultural and Resource Economics and Sciences (2021). Agricultural Commodities, September 2021. Last accessed September 2021.</v>
      </c>
    </row>
    <row r="23" spans="1:12" x14ac:dyDescent="0.3">
      <c r="A23" s="22" t="s">
        <v>23</v>
      </c>
      <c r="B23" s="6" t="s">
        <v>315</v>
      </c>
      <c r="C23" s="48">
        <f>Poultry!D6</f>
        <v>215.49799999999999</v>
      </c>
      <c r="D23" s="48">
        <f>Poultry!E6</f>
        <v>217.83799999999999</v>
      </c>
      <c r="E23" s="48">
        <f>Poultry!F6</f>
        <v>217.006</v>
      </c>
      <c r="F23" s="48">
        <f>Poultry!G6</f>
        <v>219.94900000000001</v>
      </c>
      <c r="G23" s="48">
        <f>Poultry!H6</f>
        <v>220.25700000000001</v>
      </c>
      <c r="H23" s="51">
        <f>Poultry!I6</f>
        <v>1.4003246207074938E-3</v>
      </c>
      <c r="I23" s="48">
        <f>Poultry!J6</f>
        <v>218.1096</v>
      </c>
      <c r="J23" s="51">
        <f>Poultry!K6</f>
        <v>9.8455088634337162E-3</v>
      </c>
      <c r="K23" s="48" t="str">
        <f>Poultry!L6</f>
        <v>ABARES (2021g)</v>
      </c>
      <c r="L23" s="48" t="str">
        <f>Poultry!M6</f>
        <v>Australian Bureau of Agricultural and Resource Economics and Sciences (2021). Agricultural Commodities, September 2021. Last accessed September 2021.</v>
      </c>
    </row>
    <row r="24" spans="1:12" x14ac:dyDescent="0.3">
      <c r="A24" s="52" t="s">
        <v>321</v>
      </c>
      <c r="B24" s="6" t="s">
        <v>322</v>
      </c>
      <c r="C24" s="25">
        <f>Wool!D8</f>
        <v>1405.913</v>
      </c>
      <c r="D24" s="25">
        <f>Wool!E8</f>
        <v>1732</v>
      </c>
      <c r="E24" s="25">
        <f>Wool!F8</f>
        <v>1939.133</v>
      </c>
      <c r="F24" s="25">
        <f>Wool!G8</f>
        <v>1447.6</v>
      </c>
      <c r="G24" s="25">
        <f>Wool!H8</f>
        <v>1192.8333333333335</v>
      </c>
      <c r="H24" s="51">
        <f>Wool!I8</f>
        <v>-0.17599244726904284</v>
      </c>
      <c r="I24" s="25">
        <f>Wool!J8</f>
        <v>1543.4958666666669</v>
      </c>
      <c r="J24" s="51">
        <f>Wool!K8</f>
        <v>-0.22718721890109372</v>
      </c>
      <c r="K24" s="25" t="str">
        <f>Wool!L8</f>
        <v>ABARES (2021g) + AWEX (2021)</v>
      </c>
      <c r="L24" s="25" t="str">
        <f>Wool!M8</f>
        <v>Australian Bureau of Agricultural and Resource Economics and Sciences (2021). Agricultural Commodities, September 2021. Last accessed September 2021; Australian Wool Exchange (2021). AWEX Micron Price Guide Data. Last accessed September 2021.</v>
      </c>
    </row>
    <row r="25" spans="1:12" x14ac:dyDescent="0.3">
      <c r="A25" s="22" t="s">
        <v>323</v>
      </c>
      <c r="B25" s="6" t="s">
        <v>312</v>
      </c>
      <c r="C25" s="53">
        <f>Fisheries!D9</f>
        <v>110.75</v>
      </c>
      <c r="D25" s="53">
        <f>Fisheries!E9</f>
        <v>113.02500000000001</v>
      </c>
      <c r="E25" s="53">
        <f>Fisheries!F9</f>
        <v>116</v>
      </c>
      <c r="F25" s="53">
        <f>Fisheries!G9</f>
        <v>119.1</v>
      </c>
      <c r="G25" s="53">
        <f>Fisheries!H9</f>
        <v>120.77499999999999</v>
      </c>
      <c r="H25" s="51">
        <f>Fisheries!I9</f>
        <v>1.4063811922753855E-2</v>
      </c>
      <c r="I25" s="53">
        <f>Fisheries!J9</f>
        <v>115.92999999999999</v>
      </c>
      <c r="J25" s="51">
        <f>Fisheries!K9</f>
        <v>4.1792460967825296E-2</v>
      </c>
      <c r="K25" s="53" t="str">
        <f>Fisheries!L9</f>
        <v>ABS (2021f)</v>
      </c>
      <c r="L25" s="53" t="str">
        <f>Fisheries!M9</f>
        <v>Australian Bureau of Statistics (2021). 6401.0 Consumer Price Index, Australia, June 2021. Last accessed September 2021</v>
      </c>
    </row>
    <row r="26" spans="1:12" x14ac:dyDescent="0.3">
      <c r="A26" s="22" t="s">
        <v>324</v>
      </c>
      <c r="B26" s="54" t="s">
        <v>208</v>
      </c>
      <c r="C26" s="53">
        <f>Milk!D8</f>
        <v>49</v>
      </c>
      <c r="D26" s="53">
        <f>Milk!E8</f>
        <v>50.5</v>
      </c>
      <c r="E26" s="53">
        <f>Milk!F8</f>
        <v>54.7</v>
      </c>
      <c r="F26" s="53">
        <f>Milk!G8</f>
        <v>62</v>
      </c>
      <c r="G26" s="25" t="str">
        <f>Milk!H8</f>
        <v>N/A</v>
      </c>
      <c r="H26" s="51" t="str">
        <f>Milk!I8</f>
        <v>N/A</v>
      </c>
      <c r="I26" s="25">
        <f>Milk!J8</f>
        <v>54.05</v>
      </c>
      <c r="J26" s="51" t="str">
        <f>Milk!K8</f>
        <v>N/A</v>
      </c>
      <c r="K26" s="25" t="str">
        <f>Milk!L8</f>
        <v>DA (2019d)</v>
      </c>
      <c r="L26" s="25" t="str">
        <f>Milk!M8</f>
        <v>Dairy Australia (2021), Farmgate Milk Price, last accessed October 2021, &lt;https://www.dairyaustralia.com.au/industry/prices/farmgate-milk-price&gt;</v>
      </c>
    </row>
    <row r="27" spans="1:12" x14ac:dyDescent="0.3">
      <c r="A27" s="9" t="s">
        <v>325</v>
      </c>
      <c r="B27" s="9"/>
      <c r="C27" s="10"/>
      <c r="D27" s="10"/>
      <c r="E27" s="10"/>
      <c r="F27" s="10"/>
      <c r="G27" s="10"/>
      <c r="H27" s="46"/>
      <c r="I27" s="47" t="str">
        <f t="shared" ref="I27:I30" si="3">IF(ISBLANK(F27),"",IF(ISNA(AVERAGE(C27:F27)),"N/A",IF(ISERROR(AVERAGE(C27:F27)-1),"N/A",AVERAGE(C27:F27))))</f>
        <v/>
      </c>
      <c r="J27" s="46"/>
      <c r="K27" s="10"/>
      <c r="L27" s="10"/>
    </row>
    <row r="28" spans="1:12" x14ac:dyDescent="0.3">
      <c r="A28" s="22" t="s">
        <v>326</v>
      </c>
      <c r="B28" s="6" t="s">
        <v>327</v>
      </c>
      <c r="C28" s="43">
        <f>Forestry!D10</f>
        <v>75.365125474057933</v>
      </c>
      <c r="D28" s="43">
        <f>Forestry!E10</f>
        <v>79.773278054837874</v>
      </c>
      <c r="E28" s="43">
        <f>Forestry!F10</f>
        <v>68.462975710492671</v>
      </c>
      <c r="F28" s="43">
        <f>Forestry!G10</f>
        <v>73.951085810668346</v>
      </c>
      <c r="G28" s="25" t="str">
        <f>Forestry!H10</f>
        <v>N/A</v>
      </c>
      <c r="H28" s="49">
        <f>IF(ISBLANK(F28),"N/A",IF(ISNA(F28/E28-1),"N/A",IF(ISERROR(F28/E28-1),"N/A",F28/E28-1)))</f>
        <v>8.0161723080560909E-2</v>
      </c>
      <c r="I28" s="55">
        <f t="shared" si="3"/>
        <v>74.388116262514217</v>
      </c>
      <c r="J28" s="49">
        <f>IF(ISBLANK(F28),"",IF(ISNA(F28/AVERAGE(C28:F28)-1),"N/A",IF(ISERROR(F28/AVERAGE(C28:F28)-1),"N/A",F28/AVERAGE(C28:F28)-1)))</f>
        <v>-5.8750036135287731E-3</v>
      </c>
      <c r="K28" s="25" t="str">
        <f>Forestry!L10</f>
        <v>ABARES (2021j)</v>
      </c>
      <c r="L28" s="25" t="str">
        <f>Forestry!M10</f>
        <v>Australian Bureau of Agricultural and Resource Economics and Sciences (2021). Australian Forest and Wood Product Statistics September – December 2020. Last accessed September 2021.</v>
      </c>
    </row>
    <row r="29" spans="1:12" x14ac:dyDescent="0.3">
      <c r="A29" s="22" t="s">
        <v>328</v>
      </c>
      <c r="B29" s="6" t="s">
        <v>327</v>
      </c>
      <c r="C29" s="43">
        <f>Forestry!D11</f>
        <v>130.53681431504839</v>
      </c>
      <c r="D29" s="43">
        <f>Forestry!E11</f>
        <v>122.14732396653943</v>
      </c>
      <c r="E29" s="43">
        <f>Forestry!F11</f>
        <v>128.0370227535673</v>
      </c>
      <c r="F29" s="43">
        <f>Forestry!G11</f>
        <v>135.89083995078849</v>
      </c>
      <c r="G29" s="25" t="str">
        <f>Forestry!H11</f>
        <v>N/A</v>
      </c>
      <c r="H29" s="49">
        <f>IF(ISBLANK(F29),"N/A",IF(ISNA(F29/E29-1),"N/A",IF(ISERROR(F29/E29-1),"N/A",F29/E29-1)))</f>
        <v>6.1340204796369147E-2</v>
      </c>
      <c r="I29" s="55">
        <f t="shared" si="3"/>
        <v>129.1530002464859</v>
      </c>
      <c r="J29" s="49">
        <f>IF(ISBLANK(F29),"",IF(ISNA(F29/AVERAGE(C29:F29)-1),"N/A",IF(ISERROR(F29/AVERAGE(C29:F29)-1),"N/A",F29/AVERAGE(C29:F29)-1)))</f>
        <v>5.2169440055156002E-2</v>
      </c>
      <c r="K29" s="25" t="str">
        <f>Forestry!L11</f>
        <v>ABARES (2021j)</v>
      </c>
      <c r="L29" s="25" t="str">
        <f>Forestry!M11</f>
        <v>Australian Bureau of Agricultural and Resource Economics and Sciences (2021). Australian Forest and Wood Product Statistics September – December 2020. Last accessed September 2021.</v>
      </c>
    </row>
    <row r="30" spans="1:12" x14ac:dyDescent="0.3">
      <c r="A30" s="22" t="s">
        <v>329</v>
      </c>
      <c r="B30" s="6" t="s">
        <v>312</v>
      </c>
      <c r="C30" s="53">
        <f>+Fisheries!D9</f>
        <v>110.75</v>
      </c>
      <c r="D30" s="53">
        <f>+Fisheries!E9</f>
        <v>113.02500000000001</v>
      </c>
      <c r="E30" s="53">
        <f>+Fisheries!F9</f>
        <v>116</v>
      </c>
      <c r="F30" s="53">
        <f>+Fisheries!G9</f>
        <v>119.1</v>
      </c>
      <c r="G30" s="53">
        <f>+Fisheries!H9</f>
        <v>120.77499999999999</v>
      </c>
      <c r="H30" s="56">
        <f>IF(ISBLANK(F30),"N/A",IF(ISNA(F30/E30-1),"N/A",IF(ISERROR(F30/E30-1),"N/A",F30/E30-1)))</f>
        <v>2.6724137931034342E-2</v>
      </c>
      <c r="I30" s="56">
        <f t="shared" si="3"/>
        <v>114.71875</v>
      </c>
      <c r="J30" s="49">
        <f>IF(ISBLANK(F30),"",IF(ISNA(F30/AVERAGE(C30:F30)-1),"N/A",IF(ISERROR(F30/AVERAGE(C30:F30)-1),"N/A",F30/AVERAGE(C30:F30)-1)))</f>
        <v>3.8191228548079437E-2</v>
      </c>
      <c r="K30" s="25" t="str">
        <f>+Fisheries!L9</f>
        <v>ABS (2021f)</v>
      </c>
      <c r="L30" s="25" t="str">
        <f>+Fisheries!M9</f>
        <v>Australian Bureau of Statistics (2021). 6401.0 Consumer Price Index, Australia, June 2021. Last accessed September 2021</v>
      </c>
    </row>
    <row r="31" spans="1:12" x14ac:dyDescent="0.3">
      <c r="A31" s="26" t="s">
        <v>266</v>
      </c>
      <c r="B31" s="27"/>
      <c r="C31" s="27"/>
      <c r="D31" s="27"/>
      <c r="E31" s="27"/>
      <c r="F31" s="27"/>
      <c r="G31" s="27"/>
      <c r="H31" s="27"/>
      <c r="I31" s="27"/>
      <c r="J31" s="27"/>
      <c r="K31" s="13"/>
      <c r="L31" s="13"/>
    </row>
    <row r="32" spans="1:12" x14ac:dyDescent="0.3">
      <c r="A32" s="142" t="s">
        <v>330</v>
      </c>
      <c r="B32" s="27"/>
      <c r="C32" s="27"/>
      <c r="D32" s="27"/>
      <c r="E32" s="27"/>
      <c r="F32" s="27"/>
      <c r="G32" s="27"/>
      <c r="H32" s="27"/>
      <c r="I32" s="27"/>
      <c r="J32" s="27"/>
      <c r="K32" s="13"/>
      <c r="L32" s="13"/>
    </row>
    <row r="33" spans="1:12" x14ac:dyDescent="0.3">
      <c r="A33" s="13" t="s">
        <v>292</v>
      </c>
      <c r="B33" s="27"/>
      <c r="C33" s="27"/>
      <c r="D33" s="27"/>
      <c r="E33" s="27"/>
      <c r="F33" s="27"/>
      <c r="G33" s="27"/>
      <c r="H33" s="27"/>
      <c r="I33" s="27"/>
      <c r="J33" s="27"/>
      <c r="K33" s="13"/>
      <c r="L33" s="13"/>
    </row>
  </sheetData>
  <conditionalFormatting sqref="H3:J30 A2:L2 A3:G5 C7:G10 B6:G6 A7:E26 C12:G14 C28:G29 B27:E30 C16:L26">
    <cfRule type="expression" dxfId="55" priority="16">
      <formula>MOD(ROW(),2)=0</formula>
    </cfRule>
  </conditionalFormatting>
  <conditionalFormatting sqref="A28:A29">
    <cfRule type="expression" dxfId="54" priority="15">
      <formula>MOD(ROW(),2)=0</formula>
    </cfRule>
  </conditionalFormatting>
  <conditionalFormatting sqref="A27">
    <cfRule type="expression" dxfId="53" priority="14">
      <formula>MOD(ROW(),2)=0</formula>
    </cfRule>
  </conditionalFormatting>
  <conditionalFormatting sqref="B14">
    <cfRule type="expression" dxfId="52" priority="13">
      <formula>MOD(ROW(),2)=0</formula>
    </cfRule>
  </conditionalFormatting>
  <conditionalFormatting sqref="A25:B25">
    <cfRule type="expression" dxfId="51" priority="12">
      <formula>MOD(ROW(),2)=0</formula>
    </cfRule>
  </conditionalFormatting>
  <conditionalFormatting sqref="A30">
    <cfRule type="expression" dxfId="50" priority="11">
      <formula>MOD(ROW(),2)=0</formula>
    </cfRule>
  </conditionalFormatting>
  <conditionalFormatting sqref="A30">
    <cfRule type="expression" dxfId="49" priority="10">
      <formula>MOD(ROW(),2)=0</formula>
    </cfRule>
  </conditionalFormatting>
  <conditionalFormatting sqref="F28:G29 F3:G26 G16:L26">
    <cfRule type="expression" dxfId="48" priority="9">
      <formula>MOD(ROW(),2)=0</formula>
    </cfRule>
  </conditionalFormatting>
  <conditionalFormatting sqref="F27:G27">
    <cfRule type="expression" dxfId="47" priority="8">
      <formula>MOD(ROW(),2)=0</formula>
    </cfRule>
  </conditionalFormatting>
  <conditionalFormatting sqref="A6">
    <cfRule type="expression" dxfId="46" priority="7">
      <formula>MOD(ROW(),2)=0</formula>
    </cfRule>
  </conditionalFormatting>
  <conditionalFormatting sqref="F30">
    <cfRule type="expression" dxfId="45" priority="6">
      <formula>MOD(ROW(),2)=0</formula>
    </cfRule>
  </conditionalFormatting>
  <conditionalFormatting sqref="G30">
    <cfRule type="expression" dxfId="44" priority="5">
      <formula>MOD(ROW(),2)=0</formula>
    </cfRule>
  </conditionalFormatting>
  <conditionalFormatting sqref="K3:L10 K12:L14 K16:L26 K28:L29">
    <cfRule type="expression" dxfId="43" priority="4">
      <formula>MOD(ROW(),2)=0</formula>
    </cfRule>
  </conditionalFormatting>
  <conditionalFormatting sqref="K28:L29 K3:L26">
    <cfRule type="expression" dxfId="42" priority="3">
      <formula>MOD(ROW(),2)=0</formula>
    </cfRule>
  </conditionalFormatting>
  <conditionalFormatting sqref="K27:L27">
    <cfRule type="expression" dxfId="41" priority="2">
      <formula>MOD(ROW(),2)=0</formula>
    </cfRule>
  </conditionalFormatting>
  <conditionalFormatting sqref="K30:L30">
    <cfRule type="expression" dxfId="40" priority="1">
      <formula>MOD(ROW(),2)=0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7B38-FFA5-409F-92D9-5EA7042ABA70}">
  <dimension ref="A1:L93"/>
  <sheetViews>
    <sheetView workbookViewId="0"/>
  </sheetViews>
  <sheetFormatPr defaultRowHeight="14.4" x14ac:dyDescent="0.3"/>
  <cols>
    <col min="1" max="1" width="30.109375" customWidth="1"/>
    <col min="3" max="7" width="9.6640625" bestFit="1" customWidth="1"/>
    <col min="9" max="9" width="9.6640625" bestFit="1" customWidth="1"/>
    <col min="12" max="12" width="22.109375" customWidth="1"/>
  </cols>
  <sheetData>
    <row r="1" spans="1:12" x14ac:dyDescent="0.3">
      <c r="A1" s="13"/>
      <c r="B1" s="13"/>
      <c r="C1" s="13"/>
      <c r="D1" s="13"/>
      <c r="E1" s="13"/>
      <c r="F1" s="13"/>
      <c r="G1" s="13"/>
      <c r="H1" s="13"/>
      <c r="I1" s="13"/>
      <c r="J1" s="13"/>
      <c r="K1" s="13"/>
      <c r="L1" s="13"/>
    </row>
    <row r="2" spans="1:12" ht="46.8" x14ac:dyDescent="0.3">
      <c r="A2" s="5" t="s">
        <v>331</v>
      </c>
      <c r="B2" s="5" t="s">
        <v>38</v>
      </c>
      <c r="C2" s="5" t="str">
        <f>+'Gross Value of Production'!C1</f>
        <v>2016-17</v>
      </c>
      <c r="D2" s="5" t="str">
        <f>+'Gross Value of Production'!D1</f>
        <v>2017-18</v>
      </c>
      <c r="E2" s="5" t="str">
        <f>+'Gross Value of Production'!E1</f>
        <v>2018-19</v>
      </c>
      <c r="F2" s="5" t="str">
        <f>+'Gross Value of Production'!F1</f>
        <v>2019-20</v>
      </c>
      <c r="G2" s="5" t="str">
        <f>+'Gross Value of Production'!G1</f>
        <v>2020-21[e]</v>
      </c>
      <c r="H2" s="19" t="s">
        <v>40</v>
      </c>
      <c r="I2" s="19" t="s">
        <v>139</v>
      </c>
      <c r="J2" s="19" t="s">
        <v>42</v>
      </c>
      <c r="K2" s="9" t="s">
        <v>43</v>
      </c>
      <c r="L2" s="9" t="s">
        <v>44</v>
      </c>
    </row>
    <row r="3" spans="1:12" x14ac:dyDescent="0.3">
      <c r="A3" s="9" t="s">
        <v>243</v>
      </c>
      <c r="B3" s="9" t="s">
        <v>46</v>
      </c>
      <c r="C3" s="30">
        <v>2923.3</v>
      </c>
      <c r="D3" s="30">
        <v>1445.1</v>
      </c>
      <c r="E3" s="30">
        <v>1592.4</v>
      </c>
      <c r="F3" s="30">
        <v>692.7</v>
      </c>
      <c r="G3" s="30">
        <v>2558.4</v>
      </c>
      <c r="H3" s="21">
        <f>IF(ISBLANK(G3),"N/A",IF(ISNA(G3/F3-1),"N/A",IF(ISERROR(G3/F3-1),"N/A",G3/F3-1)))</f>
        <v>2.6933737548722387</v>
      </c>
      <c r="I3" s="31">
        <f>IF(ISBLANK(G3),"",IF(ISNA(AVERAGE(C3:G3)),"N/A",IF(ISERROR(AVERAGE(C3:G3)),"N/A",AVERAGE(C3:G3))))</f>
        <v>1842.3799999999999</v>
      </c>
      <c r="J3" s="21">
        <f>IF(ISBLANK(G3),"",IF(ISNA(G3/AVERAGE(C3:G3)-1),"N/A",IF(ISERROR(G3/AVERAGE(C3:G3)-1),"N/A",G3/AVERAGE(C3:G3)-1)))</f>
        <v>0.3886386087560656</v>
      </c>
      <c r="K3" s="11"/>
      <c r="L3" s="11"/>
    </row>
    <row r="4" spans="1:12" x14ac:dyDescent="0.3">
      <c r="A4" s="22" t="s">
        <v>9</v>
      </c>
      <c r="B4" s="6" t="s">
        <v>46</v>
      </c>
      <c r="C4" s="32">
        <f>Wheat!D8</f>
        <v>1189.6553739999999</v>
      </c>
      <c r="D4" s="32">
        <f>Wheat!E8</f>
        <v>491.47424599999999</v>
      </c>
      <c r="E4" s="32">
        <f>Wheat!F8</f>
        <v>94.138112000000007</v>
      </c>
      <c r="F4" s="32">
        <f>Wheat!G8</f>
        <v>46.473123999999999</v>
      </c>
      <c r="G4" s="32">
        <f>Wheat!H8</f>
        <v>1422.9298839999999</v>
      </c>
      <c r="H4" s="23">
        <f t="shared" ref="H4:H71" si="0">IF(ISBLANK(G4),"N/A",IF(ISNA(G4/F4-1),"N/A",IF(ISERROR(G4/F4-1),"N/A",G4/F4-1)))</f>
        <v>29.6183394083858</v>
      </c>
      <c r="I4" s="36">
        <f t="shared" ref="I4:I71" si="1">IF(ISBLANK(G4),"",IF(ISNA(AVERAGE(C4:G4)),"N/A",IF(ISERROR(AVERAGE(C4:G4)),"N/A",AVERAGE(C4:G4))))</f>
        <v>648.93414800000005</v>
      </c>
      <c r="J4" s="23">
        <f>IF(ISBLANK(G4),"",IF(ISNA(G4/AVERAGE(C4:G4)-1),"N/A",IF(ISERROR(G4/AVERAGE(C4:G4)-1),"N/A",G4/AVERAGE(C4:G4)-1)))</f>
        <v>1.1927184574666576</v>
      </c>
      <c r="K4" s="8" t="str">
        <f>Wheat!L8</f>
        <v>GTA (2021)</v>
      </c>
      <c r="L4" s="8" t="str">
        <f>Wheat!M8</f>
        <v>IHS Global Trade Atlas (GTA) (2021). Unpublished trade data accessed via subscription service. Last Accessed September 2021.</v>
      </c>
    </row>
    <row r="5" spans="1:12" x14ac:dyDescent="0.3">
      <c r="A5" s="37" t="str">
        <f>Wheat!B9</f>
        <v>Indonesia</v>
      </c>
      <c r="B5" s="6" t="s">
        <v>46</v>
      </c>
      <c r="C5" s="32">
        <f>Wheat!D9</f>
        <v>176.659682</v>
      </c>
      <c r="D5" s="32">
        <f>Wheat!E9</f>
        <v>60.694026000000001</v>
      </c>
      <c r="E5" s="32">
        <f>Wheat!F9</f>
        <v>0</v>
      </c>
      <c r="F5" s="32">
        <f>Wheat!G9</f>
        <v>0</v>
      </c>
      <c r="G5" s="32">
        <f>Wheat!H9</f>
        <v>282.534088</v>
      </c>
      <c r="H5" s="23" t="str">
        <f t="shared" si="0"/>
        <v>N/A</v>
      </c>
      <c r="I5" s="36">
        <f t="shared" si="1"/>
        <v>103.9775592</v>
      </c>
      <c r="J5" s="23">
        <f>IF(ISBLANK(G5),"",IF(ISNA(G5/AVERAGE(C5:G5)-1),"N/A",IF(ISERROR(G5/AVERAGE(C5:G5)-1),"N/A",G5/AVERAGE(C5:G5)-1)))</f>
        <v>1.7172602451318166</v>
      </c>
      <c r="K5" s="8" t="str">
        <f>Wheat!L9</f>
        <v>GTA (2021)</v>
      </c>
      <c r="L5" s="8" t="str">
        <f>Wheat!M9</f>
        <v>IHS Global Trade Atlas (GTA) (2021). Unpublished trade data accessed via subscription service. Last Accessed September 2021.</v>
      </c>
    </row>
    <row r="6" spans="1:12" x14ac:dyDescent="0.3">
      <c r="A6" s="37" t="str">
        <f>Wheat!B11</f>
        <v>China</v>
      </c>
      <c r="B6" s="6" t="s">
        <v>46</v>
      </c>
      <c r="C6" s="32">
        <f>Wheat!D10</f>
        <v>128.532937</v>
      </c>
      <c r="D6" s="32">
        <f>Wheat!E10</f>
        <v>111.53571100000001</v>
      </c>
      <c r="E6" s="32">
        <f>Wheat!F10</f>
        <v>20.168037999999999</v>
      </c>
      <c r="F6" s="32">
        <f>Wheat!G10</f>
        <v>4.6854199999999997</v>
      </c>
      <c r="G6" s="32">
        <f>Wheat!H10</f>
        <v>264.67167699999999</v>
      </c>
      <c r="H6" s="23">
        <f t="shared" si="0"/>
        <v>55.488356860217444</v>
      </c>
      <c r="I6" s="36">
        <f t="shared" si="1"/>
        <v>105.91875660000001</v>
      </c>
      <c r="J6" s="23">
        <f t="shared" ref="J6:J73" si="2">IF(ISBLANK(G6),"",IF(ISNA(G6/AVERAGE(C6:G6)-1),"N/A",IF(ISERROR(G6/AVERAGE(C6:G6)-1),"N/A",G6/AVERAGE(C6:G6)-1)))</f>
        <v>1.498817825057436</v>
      </c>
      <c r="K6" s="8" t="str">
        <f>Wheat!L10</f>
        <v>GTA (2021)</v>
      </c>
      <c r="L6" s="8" t="str">
        <f>Wheat!M10</f>
        <v>IHS Global Trade Atlas (GTA) (2021). Unpublished trade data accessed via subscription service. Last Accessed September 2021.</v>
      </c>
    </row>
    <row r="7" spans="1:12" x14ac:dyDescent="0.3">
      <c r="A7" s="37" t="str">
        <f>Wheat!B12</f>
        <v xml:space="preserve">Total </v>
      </c>
      <c r="B7" s="6" t="s">
        <v>46</v>
      </c>
      <c r="C7" s="32">
        <f>Wheat!D11</f>
        <v>97.357927000000004</v>
      </c>
      <c r="D7" s="32">
        <f>Wheat!E11</f>
        <v>68.444218000000006</v>
      </c>
      <c r="E7" s="32">
        <f>Wheat!F11</f>
        <v>8.7634570000000007</v>
      </c>
      <c r="F7" s="32">
        <f>Wheat!G11</f>
        <v>5.4775970000000003</v>
      </c>
      <c r="G7" s="32">
        <f>Wheat!H11</f>
        <v>162.24808200000001</v>
      </c>
      <c r="H7" s="23">
        <f t="shared" si="0"/>
        <v>28.620302844477241</v>
      </c>
      <c r="I7" s="36">
        <f t="shared" si="1"/>
        <v>68.458256200000008</v>
      </c>
      <c r="J7" s="23">
        <f t="shared" si="2"/>
        <v>1.3700294311615839</v>
      </c>
      <c r="K7" s="8" t="str">
        <f>Wheat!L11</f>
        <v>GTA (2021)</v>
      </c>
      <c r="L7" s="8" t="str">
        <f>Wheat!M11</f>
        <v>IHS Global Trade Atlas (GTA) (2021). Unpublished trade data accessed via subscription service. Last Accessed September 2021.</v>
      </c>
    </row>
    <row r="8" spans="1:12" x14ac:dyDescent="0.3">
      <c r="A8" s="22" t="s">
        <v>332</v>
      </c>
      <c r="B8" s="6" t="s">
        <v>46</v>
      </c>
      <c r="C8" s="32">
        <f>Barley!D8</f>
        <v>7.6761999999999997E-2</v>
      </c>
      <c r="D8" s="32">
        <f>Barley!E8</f>
        <v>0</v>
      </c>
      <c r="E8" s="32">
        <f>Barley!F8</f>
        <v>0.21820300000000001</v>
      </c>
      <c r="F8" s="32">
        <f>Barley!G8</f>
        <v>0.50099199999999999</v>
      </c>
      <c r="G8" s="32">
        <f>Barley!H8</f>
        <v>48.929844000000003</v>
      </c>
      <c r="H8" s="23">
        <f t="shared" si="0"/>
        <v>96.665918817066952</v>
      </c>
      <c r="I8" s="36">
        <f t="shared" si="1"/>
        <v>9.9451602000000001</v>
      </c>
      <c r="J8" s="23">
        <f t="shared" si="2"/>
        <v>3.9199653918093746</v>
      </c>
      <c r="K8" s="8" t="str">
        <f>Barley!L8</f>
        <v>GTA (2021)</v>
      </c>
      <c r="L8" s="8" t="str">
        <f>Barley!M8</f>
        <v>IHS Global Trade Atlas (GTA) (2021). Unpublished trade data accessed via subscription service. Last Accessed September 2021.</v>
      </c>
    </row>
    <row r="9" spans="1:12" x14ac:dyDescent="0.3">
      <c r="A9" s="37" t="str">
        <f>Barley!B9</f>
        <v>Kuwait</v>
      </c>
      <c r="B9" s="6" t="s">
        <v>46</v>
      </c>
      <c r="C9" s="32">
        <f>Barley!D9</f>
        <v>0</v>
      </c>
      <c r="D9" s="32">
        <f>Barley!E9</f>
        <v>0</v>
      </c>
      <c r="E9" s="32">
        <f>Barley!F9</f>
        <v>0</v>
      </c>
      <c r="F9" s="32">
        <f>Barley!G9</f>
        <v>0</v>
      </c>
      <c r="G9" s="32">
        <f>Barley!H9</f>
        <v>23.701777</v>
      </c>
      <c r="H9" s="23" t="str">
        <f t="shared" si="0"/>
        <v>N/A</v>
      </c>
      <c r="I9" s="36">
        <f t="shared" si="1"/>
        <v>4.7403554000000003</v>
      </c>
      <c r="J9" s="23">
        <f t="shared" si="2"/>
        <v>4</v>
      </c>
      <c r="K9" s="8" t="str">
        <f>Barley!L9</f>
        <v>GTA (2021)</v>
      </c>
      <c r="L9" s="8" t="str">
        <f>Barley!M9</f>
        <v>IHS Global Trade Atlas (GTA) (2021). Unpublished trade data accessed via subscription service. Last Accessed September 2021.</v>
      </c>
    </row>
    <row r="10" spans="1:12" x14ac:dyDescent="0.3">
      <c r="A10" s="37" t="str">
        <f>Barley!B10</f>
        <v>Saudi Arabia</v>
      </c>
      <c r="B10" s="6" t="s">
        <v>46</v>
      </c>
      <c r="C10" s="32">
        <f>Barley!D10</f>
        <v>0</v>
      </c>
      <c r="D10" s="32">
        <f>Barley!E10</f>
        <v>0</v>
      </c>
      <c r="E10" s="32">
        <f>Barley!F10</f>
        <v>0</v>
      </c>
      <c r="F10" s="32">
        <f>Barley!G10</f>
        <v>0</v>
      </c>
      <c r="G10" s="32">
        <f>Barley!H10</f>
        <v>7.5123930000000003</v>
      </c>
      <c r="H10" s="23" t="str">
        <f t="shared" si="0"/>
        <v>N/A</v>
      </c>
      <c r="I10" s="36">
        <f t="shared" si="1"/>
        <v>1.5024786000000001</v>
      </c>
      <c r="J10" s="23">
        <f t="shared" si="2"/>
        <v>4</v>
      </c>
      <c r="K10" s="8" t="str">
        <f>Barley!L10</f>
        <v>GTA (2021)</v>
      </c>
      <c r="L10" s="8" t="str">
        <f>Barley!M10</f>
        <v>IHS Global Trade Atlas (GTA) (2021). Unpublished trade data accessed via subscription service. Last Accessed September 2021.</v>
      </c>
    </row>
    <row r="11" spans="1:12" x14ac:dyDescent="0.3">
      <c r="A11" s="37" t="str">
        <f>Barley!B11</f>
        <v>Japan</v>
      </c>
      <c r="B11" s="6" t="s">
        <v>46</v>
      </c>
      <c r="C11" s="32">
        <f>Barley!D11</f>
        <v>0</v>
      </c>
      <c r="D11" s="32">
        <f>Barley!E11</f>
        <v>0</v>
      </c>
      <c r="E11" s="32">
        <f>Barley!F11</f>
        <v>0</v>
      </c>
      <c r="F11" s="32">
        <f>Barley!G11</f>
        <v>0.27900000000000003</v>
      </c>
      <c r="G11" s="32">
        <f>Barley!H11</f>
        <v>4.846241</v>
      </c>
      <c r="H11" s="23">
        <f t="shared" si="0"/>
        <v>16.370039426523295</v>
      </c>
      <c r="I11" s="36">
        <f t="shared" si="1"/>
        <v>1.0250482000000001</v>
      </c>
      <c r="J11" s="23">
        <f t="shared" si="2"/>
        <v>3.7278176772565423</v>
      </c>
      <c r="K11" s="8" t="str">
        <f>Barley!L11</f>
        <v>GTA (2021)</v>
      </c>
      <c r="L11" s="8" t="str">
        <f>Barley!M11</f>
        <v>IHS Global Trade Atlas (GTA) (2021). Unpublished trade data accessed via subscription service. Last Accessed September 2021.</v>
      </c>
    </row>
    <row r="12" spans="1:12" x14ac:dyDescent="0.3">
      <c r="A12" s="22" t="s">
        <v>11</v>
      </c>
      <c r="B12" s="6" t="s">
        <v>46</v>
      </c>
      <c r="C12" s="32">
        <v>149.30000000000001</v>
      </c>
      <c r="D12" s="32">
        <v>310.89999999999998</v>
      </c>
      <c r="E12" s="32">
        <v>273.10000000000002</v>
      </c>
      <c r="F12" s="32">
        <v>134.69999999999999</v>
      </c>
      <c r="G12" s="32">
        <v>34.6</v>
      </c>
      <c r="H12" s="23">
        <f t="shared" si="0"/>
        <v>-0.74313288789903487</v>
      </c>
      <c r="I12" s="36">
        <f t="shared" si="1"/>
        <v>180.52</v>
      </c>
      <c r="J12" s="23">
        <f t="shared" si="2"/>
        <v>-0.80833148681586531</v>
      </c>
      <c r="K12" s="8" t="str">
        <f>Rice!L8</f>
        <v>GTA (2021)</v>
      </c>
      <c r="L12" s="8" t="str">
        <f>Rice!M8</f>
        <v>IHS Global Trade Atlas (GTA) (2021). Unpublished trade data accessed via subscription service. Last Accessed September 2021.</v>
      </c>
    </row>
    <row r="13" spans="1:12" x14ac:dyDescent="0.3">
      <c r="A13" s="37" t="str">
        <f>Rice!B9</f>
        <v>Unidentified Country</v>
      </c>
      <c r="B13" s="6" t="s">
        <v>46</v>
      </c>
      <c r="C13" s="32">
        <v>149.30000000000001</v>
      </c>
      <c r="D13" s="32">
        <v>310.89999999999998</v>
      </c>
      <c r="E13" s="32">
        <v>272.5</v>
      </c>
      <c r="F13" s="32">
        <v>134.69999999999999</v>
      </c>
      <c r="G13" s="32">
        <v>34.1</v>
      </c>
      <c r="H13" s="23">
        <f t="shared" si="0"/>
        <v>-0.74684484038604304</v>
      </c>
      <c r="I13" s="36">
        <f t="shared" si="1"/>
        <v>180.3</v>
      </c>
      <c r="J13" s="23">
        <f t="shared" si="2"/>
        <v>-0.81087077093732662</v>
      </c>
      <c r="K13" s="8" t="str">
        <f>Rice!L9</f>
        <v>GTA (2021)</v>
      </c>
      <c r="L13" s="8" t="str">
        <f>Rice!M9</f>
        <v>IHS Global Trade Atlas (GTA) (2021). Unpublished trade data accessed via subscription service. Last Accessed September 2021.</v>
      </c>
    </row>
    <row r="14" spans="1:12" x14ac:dyDescent="0.3">
      <c r="A14" s="37" t="s">
        <v>82</v>
      </c>
      <c r="B14" s="6" t="s">
        <v>46</v>
      </c>
      <c r="C14" s="32">
        <f>Rice!D10</f>
        <v>8.5869999999999991E-3</v>
      </c>
      <c r="D14" s="32">
        <f>Rice!E10</f>
        <v>2.3217000000000002E-2</v>
      </c>
      <c r="E14" s="32">
        <v>0</v>
      </c>
      <c r="F14" s="32">
        <f>Rice!G10</f>
        <v>1.6882999999999999E-2</v>
      </c>
      <c r="G14" s="32">
        <v>0.3</v>
      </c>
      <c r="H14" s="23" t="s">
        <v>116</v>
      </c>
      <c r="I14" s="36">
        <f t="shared" si="1"/>
        <v>6.9737399999999991E-2</v>
      </c>
      <c r="J14" s="23">
        <v>4</v>
      </c>
      <c r="K14" s="8" t="str">
        <f>Rice!L10</f>
        <v>GTA (2021)</v>
      </c>
      <c r="L14" s="8" t="str">
        <f>Rice!M10</f>
        <v>IHS Global Trade Atlas (GTA) (2021). Unpublished trade data accessed via subscription service. Last Accessed September 2021.</v>
      </c>
    </row>
    <row r="15" spans="1:12" x14ac:dyDescent="0.3">
      <c r="A15" s="22" t="s">
        <v>244</v>
      </c>
      <c r="B15" s="6" t="s">
        <v>46</v>
      </c>
      <c r="C15" s="32">
        <f>'Coarse Grains'!D8</f>
        <v>55.497073</v>
      </c>
      <c r="D15" s="32">
        <f>'Coarse Grains'!E8</f>
        <v>41.508612999999997</v>
      </c>
      <c r="E15" s="32">
        <f>'Coarse Grains'!F8</f>
        <v>5.5922729999999996</v>
      </c>
      <c r="F15" s="32">
        <f>'Coarse Grains'!G8</f>
        <v>1.2930410000000001</v>
      </c>
      <c r="G15" s="32">
        <f>'Coarse Grains'!H8</f>
        <v>68.766856000000004</v>
      </c>
      <c r="H15" s="23">
        <f t="shared" si="0"/>
        <v>52.18227032244144</v>
      </c>
      <c r="I15" s="36">
        <f t="shared" si="1"/>
        <v>34.531571200000002</v>
      </c>
      <c r="J15" s="23">
        <f t="shared" si="2"/>
        <v>0.9914198401722305</v>
      </c>
      <c r="K15" s="8" t="str">
        <f>'Coarse Grains'!L8</f>
        <v>GTA (2021)</v>
      </c>
      <c r="L15" s="8" t="str">
        <f>'Coarse Grains'!M8</f>
        <v>IHS Global Trade Atlas (GTA) (2021). Unpublished trade data accessed via subscription service. Last Accessed September 2021.</v>
      </c>
    </row>
    <row r="16" spans="1:12" x14ac:dyDescent="0.3">
      <c r="A16" s="37" t="str">
        <f>'Coarse Grains'!B9</f>
        <v>China</v>
      </c>
      <c r="B16" s="6" t="s">
        <v>46</v>
      </c>
      <c r="C16" s="32">
        <f>'Coarse Grains'!D9</f>
        <v>52.178266000000001</v>
      </c>
      <c r="D16" s="32">
        <f>'Coarse Grains'!E9</f>
        <v>40.727727999999999</v>
      </c>
      <c r="E16" s="32">
        <f>'Coarse Grains'!F9</f>
        <v>5.1218830000000004</v>
      </c>
      <c r="F16" s="32">
        <f>'Coarse Grains'!G9</f>
        <v>0.45589499999999999</v>
      </c>
      <c r="G16" s="32">
        <f>'Coarse Grains'!H9</f>
        <v>51.541997000000002</v>
      </c>
      <c r="H16" s="23">
        <f>IF(ISBLANK(G16),"N/A",IF(ISNA(G16/F16-1),"N/A",IF(ISERROR(G16/F16-1),"N/A",G16/F16-1)))</f>
        <v>112.05672797464329</v>
      </c>
      <c r="I16" s="36">
        <f t="shared" si="1"/>
        <v>30.005153799999999</v>
      </c>
      <c r="J16" s="23">
        <f t="shared" si="2"/>
        <v>0.71777146498079292</v>
      </c>
      <c r="K16" s="8" t="str">
        <f>'Coarse Grains'!L9</f>
        <v>GTA (2021)</v>
      </c>
      <c r="L16" s="8" t="str">
        <f>'Coarse Grains'!M9</f>
        <v>IHS Global Trade Atlas (GTA) (2021). Unpublished trade data accessed via subscription service. Last Accessed September 2021.</v>
      </c>
    </row>
    <row r="17" spans="1:12" x14ac:dyDescent="0.3">
      <c r="A17" s="37" t="str">
        <f>'Coarse Grains'!B10</f>
        <v>Japan</v>
      </c>
      <c r="B17" s="6" t="s">
        <v>46</v>
      </c>
      <c r="C17" s="32">
        <f>'Coarse Grains'!D10</f>
        <v>1.625138</v>
      </c>
      <c r="D17" s="32">
        <f>'Coarse Grains'!E10</f>
        <v>5.9200000000000003E-2</v>
      </c>
      <c r="E17" s="32">
        <f>'Coarse Grains'!F10</f>
        <v>9.9839999999999998E-2</v>
      </c>
      <c r="F17" s="32">
        <f>'Coarse Grains'!G10</f>
        <v>0.19223999999999999</v>
      </c>
      <c r="G17" s="32">
        <f>'Coarse Grains'!H10</f>
        <v>13.078875</v>
      </c>
      <c r="H17" s="23">
        <f t="shared" si="0"/>
        <v>67.034098002496876</v>
      </c>
      <c r="I17" s="36">
        <f t="shared" si="1"/>
        <v>3.0110585999999997</v>
      </c>
      <c r="J17" s="23">
        <f t="shared" si="2"/>
        <v>3.3436135716521758</v>
      </c>
      <c r="K17" s="8" t="str">
        <f>'Coarse Grains'!L10</f>
        <v>GTA (2021)</v>
      </c>
      <c r="L17" s="8" t="str">
        <f>'Coarse Grains'!M10</f>
        <v>IHS Global Trade Atlas (GTA) (2021). Unpublished trade data accessed via subscription service. Last Accessed September 2021.</v>
      </c>
    </row>
    <row r="18" spans="1:12" x14ac:dyDescent="0.3">
      <c r="A18" s="37" t="str">
        <f>'Coarse Grains'!B11</f>
        <v>Taiwan</v>
      </c>
      <c r="B18" s="6" t="s">
        <v>46</v>
      </c>
      <c r="C18" s="32">
        <f>'Coarse Grains'!D11</f>
        <v>0.53920500000000005</v>
      </c>
      <c r="D18" s="32">
        <f>'Coarse Grains'!E11</f>
        <v>0.57827399999999995</v>
      </c>
      <c r="E18" s="32">
        <f>'Coarse Grains'!F11</f>
        <v>0.16303599999999999</v>
      </c>
      <c r="F18" s="32">
        <f>'Coarse Grains'!G11</f>
        <v>0.225878</v>
      </c>
      <c r="G18" s="32">
        <f>'Coarse Grains'!H11</f>
        <v>1.663543</v>
      </c>
      <c r="H18" s="23">
        <f t="shared" si="0"/>
        <v>6.3647854151356045</v>
      </c>
      <c r="I18" s="36">
        <f t="shared" si="1"/>
        <v>0.63398719999999997</v>
      </c>
      <c r="J18" s="23">
        <f t="shared" si="2"/>
        <v>1.6239378334452179</v>
      </c>
      <c r="K18" s="8" t="str">
        <f>'Coarse Grains'!L11</f>
        <v>GTA (2021)</v>
      </c>
      <c r="L18" s="8" t="str">
        <f>'Coarse Grains'!M11</f>
        <v>IHS Global Trade Atlas (GTA) (2021). Unpublished trade data accessed via subscription service. Last Accessed September 2021.</v>
      </c>
    </row>
    <row r="19" spans="1:12" x14ac:dyDescent="0.3">
      <c r="A19" s="22" t="s">
        <v>13</v>
      </c>
      <c r="B19" s="6" t="s">
        <v>46</v>
      </c>
      <c r="C19" s="32">
        <f>Pulses!D9</f>
        <v>155.818153</v>
      </c>
      <c r="D19" s="32">
        <f>Pulses!E9</f>
        <v>39.083433999999997</v>
      </c>
      <c r="E19" s="32">
        <f>Pulses!F9</f>
        <v>20.175578999999999</v>
      </c>
      <c r="F19" s="32">
        <f>Pulses!G9</f>
        <v>32.682865999999997</v>
      </c>
      <c r="G19" s="32">
        <f>Pulses!H9</f>
        <v>118.019778</v>
      </c>
      <c r="H19" s="23">
        <f t="shared" si="0"/>
        <v>2.6110596298378486</v>
      </c>
      <c r="I19" s="36">
        <f t="shared" si="1"/>
        <v>73.155962000000002</v>
      </c>
      <c r="J19" s="23">
        <f t="shared" si="2"/>
        <v>0.61326260735932903</v>
      </c>
      <c r="K19" s="8" t="str">
        <f>Pulses!L9</f>
        <v>GTA (2021)</v>
      </c>
      <c r="L19" s="8" t="str">
        <f>Pulses!M9</f>
        <v>IHS Global Trade Atlas (GTA) (2021). Unpublished trade data accessed via subscription service. Last Accessed September 2021.</v>
      </c>
    </row>
    <row r="20" spans="1:12" x14ac:dyDescent="0.3">
      <c r="A20" s="37" t="str">
        <f>Pulses!B10</f>
        <v>Bangladesh</v>
      </c>
      <c r="B20" s="6" t="s">
        <v>46</v>
      </c>
      <c r="C20" s="32">
        <f>Pulses!D10</f>
        <v>44.183309999999999</v>
      </c>
      <c r="D20" s="32">
        <f>Pulses!E10</f>
        <v>64.648719999999997</v>
      </c>
      <c r="E20" s="32">
        <f>Pulses!F10</f>
        <v>14.817441000000001</v>
      </c>
      <c r="F20" s="32">
        <f>Pulses!G10</f>
        <v>8.0937819999999991</v>
      </c>
      <c r="G20" s="32">
        <f>Pulses!H10</f>
        <v>41.505887999999999</v>
      </c>
      <c r="H20" s="23">
        <f t="shared" si="0"/>
        <v>4.1281203274316018</v>
      </c>
      <c r="I20" s="36">
        <f t="shared" si="1"/>
        <v>34.649828200000002</v>
      </c>
      <c r="J20" s="23">
        <f t="shared" si="2"/>
        <v>0.19786706474925597</v>
      </c>
      <c r="K20" s="8" t="str">
        <f>Pulses!L10</f>
        <v>GTA (2021)</v>
      </c>
      <c r="L20" s="8" t="str">
        <f>Pulses!M10</f>
        <v>IHS Global Trade Atlas (GTA) (2021). Unpublished trade data accessed via subscription service. Last Accessed September 2021.</v>
      </c>
    </row>
    <row r="21" spans="1:12" x14ac:dyDescent="0.3">
      <c r="A21" s="37" t="str">
        <f>Pulses!B11</f>
        <v>India</v>
      </c>
      <c r="B21" s="6" t="s">
        <v>46</v>
      </c>
      <c r="C21" s="32">
        <f>Pulses!D11</f>
        <v>252.178417</v>
      </c>
      <c r="D21" s="32">
        <f>Pulses!E11</f>
        <v>189.78343599999999</v>
      </c>
      <c r="E21" s="32">
        <f>Pulses!F11</f>
        <v>0.258162</v>
      </c>
      <c r="F21" s="32">
        <f>Pulses!G11</f>
        <v>0.27210099999999998</v>
      </c>
      <c r="G21" s="32">
        <f>Pulses!H11</f>
        <v>0.80853299999999995</v>
      </c>
      <c r="H21" s="23">
        <f t="shared" si="0"/>
        <v>1.9714444268856051</v>
      </c>
      <c r="I21" s="36">
        <f t="shared" si="1"/>
        <v>88.660129800000021</v>
      </c>
      <c r="J21" s="23">
        <f t="shared" si="2"/>
        <v>-0.99088053444289004</v>
      </c>
      <c r="K21" s="8" t="str">
        <f>Pulses!L11</f>
        <v>GTA (2021)</v>
      </c>
      <c r="L21" s="8" t="str">
        <f>Pulses!M11</f>
        <v>IHS Global Trade Atlas (GTA) (2021). Unpublished trade data accessed via subscription service. Last Accessed September 2021.</v>
      </c>
    </row>
    <row r="22" spans="1:12" x14ac:dyDescent="0.3">
      <c r="A22" s="37" t="str">
        <f>Pulses!B12</f>
        <v xml:space="preserve">Total </v>
      </c>
      <c r="B22" s="6" t="s">
        <v>46</v>
      </c>
      <c r="C22" s="32">
        <f>Pulses!D12</f>
        <v>12.864756550000001</v>
      </c>
      <c r="D22" s="32">
        <f>Pulses!E12</f>
        <v>16.59131056</v>
      </c>
      <c r="E22" s="32">
        <f>Pulses!F12</f>
        <v>13.4519041</v>
      </c>
      <c r="F22" s="32">
        <f>Pulses!G12</f>
        <v>15.87296199</v>
      </c>
      <c r="G22" s="32">
        <f>Pulses!H12</f>
        <v>15.576629969999999</v>
      </c>
      <c r="H22" s="23">
        <f t="shared" si="0"/>
        <v>-1.8668980634281795E-2</v>
      </c>
      <c r="I22" s="36">
        <f t="shared" si="1"/>
        <v>14.871512633999998</v>
      </c>
      <c r="J22" s="23">
        <f t="shared" si="2"/>
        <v>4.7413962073227678E-2</v>
      </c>
      <c r="K22" s="8" t="str">
        <f>Pulses!L12</f>
        <v>GTA (2021)</v>
      </c>
      <c r="L22" s="8" t="str">
        <f>Pulses!M12</f>
        <v>IHS Global Trade Atlas (GTA) (2021). Unpublished trade data accessed via subscription service. Last Accessed September 2021.</v>
      </c>
    </row>
    <row r="23" spans="1:12" x14ac:dyDescent="0.3">
      <c r="A23" s="22" t="s">
        <v>14</v>
      </c>
      <c r="B23" s="6" t="s">
        <v>46</v>
      </c>
      <c r="C23" s="32">
        <f>Oilseeds!D9</f>
        <v>217.11319700000001</v>
      </c>
      <c r="D23" s="32">
        <f>Oilseeds!E9</f>
        <v>36.725349999999999</v>
      </c>
      <c r="E23" s="32">
        <f>Oilseeds!F9</f>
        <v>18.198782999999999</v>
      </c>
      <c r="F23" s="32">
        <f>Oilseeds!G9</f>
        <v>3.7835220000000001</v>
      </c>
      <c r="G23" s="32">
        <f>Oilseeds!H9</f>
        <v>448.80657000000002</v>
      </c>
      <c r="H23" s="23">
        <f t="shared" si="0"/>
        <v>117.62137183291125</v>
      </c>
      <c r="I23" s="36">
        <f t="shared" si="1"/>
        <v>144.92548440000002</v>
      </c>
      <c r="J23" s="23">
        <f t="shared" si="2"/>
        <v>2.0968091765094696</v>
      </c>
      <c r="K23" s="8" t="str">
        <f>Oilseeds!L9</f>
        <v>GTA (2021)</v>
      </c>
      <c r="L23" s="8" t="str">
        <f>Oilseeds!M9</f>
        <v>IHS Global Trade Atlas (GTA) (2021). Unpublished trade data accessed via subscription service. Last Accessed September 2021.</v>
      </c>
    </row>
    <row r="24" spans="1:12" x14ac:dyDescent="0.3">
      <c r="A24" s="37" t="str">
        <f>Oilseeds!B10</f>
        <v>Belgium</v>
      </c>
      <c r="B24" s="6" t="s">
        <v>46</v>
      </c>
      <c r="C24" s="32">
        <f>Oilseeds!D10</f>
        <v>33.314039999999999</v>
      </c>
      <c r="D24" s="32">
        <f>Oilseeds!E10</f>
        <v>0</v>
      </c>
      <c r="E24" s="32">
        <f>Oilseeds!F10</f>
        <v>0</v>
      </c>
      <c r="F24" s="32">
        <f>Oilseeds!G10</f>
        <v>0</v>
      </c>
      <c r="G24" s="32">
        <f>Oilseeds!H10</f>
        <v>145.15274199999999</v>
      </c>
      <c r="H24" s="23" t="str">
        <f t="shared" si="0"/>
        <v>N/A</v>
      </c>
      <c r="I24" s="36">
        <f t="shared" si="1"/>
        <v>35.693356399999999</v>
      </c>
      <c r="J24" s="23">
        <f t="shared" si="2"/>
        <v>3.0666599233015805</v>
      </c>
      <c r="K24" s="8" t="str">
        <f>Oilseeds!L10</f>
        <v>GTA (2021)</v>
      </c>
      <c r="L24" s="8" t="str">
        <f>Oilseeds!M10</f>
        <v>IHS Global Trade Atlas (GTA) (2021). Unpublished trade data accessed via subscription service. Last Accessed September 2021.</v>
      </c>
    </row>
    <row r="25" spans="1:12" x14ac:dyDescent="0.3">
      <c r="A25" s="37" t="str">
        <f>Oilseeds!B11</f>
        <v>Germany</v>
      </c>
      <c r="B25" s="6" t="s">
        <v>46</v>
      </c>
      <c r="C25" s="32">
        <f>Oilseeds!D11</f>
        <v>36.404929000000003</v>
      </c>
      <c r="D25" s="32">
        <f>Oilseeds!E11</f>
        <v>3.1700000000000001E-4</v>
      </c>
      <c r="E25" s="32">
        <f>Oilseeds!F11</f>
        <v>0</v>
      </c>
      <c r="F25" s="32">
        <f>Oilseeds!G11</f>
        <v>0</v>
      </c>
      <c r="G25" s="32">
        <f>Oilseeds!H11</f>
        <v>124.311142</v>
      </c>
      <c r="H25" s="23" t="str">
        <f t="shared" si="0"/>
        <v>N/A</v>
      </c>
      <c r="I25" s="36">
        <f t="shared" si="1"/>
        <v>32.143277599999998</v>
      </c>
      <c r="J25" s="23">
        <f t="shared" si="2"/>
        <v>2.8674071619877375</v>
      </c>
      <c r="K25" s="8" t="str">
        <f>Oilseeds!L11</f>
        <v>GTA (2021)</v>
      </c>
      <c r="L25" s="8" t="str">
        <f>Oilseeds!M11</f>
        <v>IHS Global Trade Atlas (GTA) (2021). Unpublished trade data accessed via subscription service. Last Accessed September 2021.</v>
      </c>
    </row>
    <row r="26" spans="1:12" x14ac:dyDescent="0.3">
      <c r="A26" s="37" t="str">
        <f>Oilseeds!B12</f>
        <v>France</v>
      </c>
      <c r="B26" s="6" t="s">
        <v>46</v>
      </c>
      <c r="C26" s="32">
        <f>Oilseeds!D12</f>
        <v>47.186518</v>
      </c>
      <c r="D26" s="32">
        <f>Oilseeds!E12</f>
        <v>0</v>
      </c>
      <c r="E26" s="32">
        <f>Oilseeds!F12</f>
        <v>0</v>
      </c>
      <c r="F26" s="32">
        <f>Oilseeds!G12</f>
        <v>0</v>
      </c>
      <c r="G26" s="32">
        <f>Oilseeds!H12</f>
        <v>87.201701999999997</v>
      </c>
      <c r="H26" s="23" t="str">
        <f t="shared" si="0"/>
        <v>N/A</v>
      </c>
      <c r="I26" s="36">
        <f t="shared" si="1"/>
        <v>26.877643999999997</v>
      </c>
      <c r="J26" s="23">
        <f t="shared" si="2"/>
        <v>2.2443953048860981</v>
      </c>
      <c r="K26" s="8" t="str">
        <f>Oilseeds!L12</f>
        <v>GTA (2021)</v>
      </c>
      <c r="L26" s="8" t="str">
        <f>Oilseeds!M12</f>
        <v>IHS Global Trade Atlas (GTA) (2021). Unpublished trade data accessed via subscription service. Last Accessed September 2021.</v>
      </c>
    </row>
    <row r="27" spans="1:12" s="130" customFormat="1" x14ac:dyDescent="0.3">
      <c r="A27" s="137" t="s">
        <v>333</v>
      </c>
      <c r="B27" s="132" t="s">
        <v>46</v>
      </c>
      <c r="C27" s="133">
        <f>'Cotton Lint'!D8</f>
        <v>731.67857700000002</v>
      </c>
      <c r="D27" s="133">
        <f>'Cotton Lint'!E8</f>
        <v>928.9</v>
      </c>
      <c r="E27" s="133">
        <f>'Cotton Lint'!F8</f>
        <v>1113.2</v>
      </c>
      <c r="F27" s="133">
        <f>'Cotton Lint'!G8</f>
        <v>419.7</v>
      </c>
      <c r="G27" s="133">
        <f>'Cotton Lint'!H8</f>
        <v>271.10000000000002</v>
      </c>
      <c r="H27" s="134">
        <f t="shared" si="0"/>
        <v>-0.3540624255420538</v>
      </c>
      <c r="I27" s="135">
        <f t="shared" si="1"/>
        <v>692.91571539999995</v>
      </c>
      <c r="J27" s="134">
        <f t="shared" si="2"/>
        <v>-0.60875472445663625</v>
      </c>
      <c r="K27" s="136" t="str">
        <f>'Cotton Lint'!L8</f>
        <v>GTA (2021)</v>
      </c>
      <c r="L27" s="136" t="str">
        <f>'Cotton Lint'!M8</f>
        <v>IHS Global Trade Atlas (GTA) (2021). Unpublished trade data accessed via subscription service. Last Accessed September 2021.</v>
      </c>
    </row>
    <row r="28" spans="1:12" x14ac:dyDescent="0.3">
      <c r="A28" s="37" t="s">
        <v>65</v>
      </c>
      <c r="B28" s="6" t="s">
        <v>46</v>
      </c>
      <c r="C28" s="32">
        <v>230.8</v>
      </c>
      <c r="D28" s="32">
        <v>49.5</v>
      </c>
      <c r="E28" s="32">
        <v>391.8</v>
      </c>
      <c r="F28" s="32">
        <v>266.39999999999998</v>
      </c>
      <c r="G28" s="32">
        <v>88</v>
      </c>
      <c r="H28" s="23">
        <v>-0.67</v>
      </c>
      <c r="I28" s="36">
        <v>205.3</v>
      </c>
      <c r="J28" s="23">
        <v>-0.56999999999999995</v>
      </c>
      <c r="K28" s="38" t="s">
        <v>61</v>
      </c>
      <c r="L28" s="38" t="s">
        <v>62</v>
      </c>
    </row>
    <row r="29" spans="1:12" x14ac:dyDescent="0.3">
      <c r="A29" s="131" t="s">
        <v>64</v>
      </c>
      <c r="B29" s="132" t="s">
        <v>46</v>
      </c>
      <c r="C29" s="133">
        <v>99.7</v>
      </c>
      <c r="D29" s="133">
        <v>199.5</v>
      </c>
      <c r="E29" s="133">
        <v>163</v>
      </c>
      <c r="F29" s="133">
        <v>40.4</v>
      </c>
      <c r="G29" s="133">
        <v>76.900000000000006</v>
      </c>
      <c r="H29" s="134">
        <f>IF(ISBLANK(G29),"N/A",IF(ISNA(G29/F29-1),"N/A",IF(ISERROR(G29/F29-1),"N/A",G29/F29-1)))</f>
        <v>0.9034653465346536</v>
      </c>
      <c r="I29" s="135">
        <f>IF(ISBLANK(G29),"",IF(ISNA(AVERAGE(C29:G29)),"N/A",IF(ISERROR(AVERAGE(C29:G29)),"N/A",AVERAGE(C29:G29))))</f>
        <v>115.9</v>
      </c>
      <c r="J29" s="134">
        <f>IF(ISBLANK(G29),"",IF(ISNA(G29/AVERAGE(C29:G29)-1),"N/A",IF(ISERROR(G29/AVERAGE(C29:G29)-1),"N/A",G29/AVERAGE(C29:G29)-1)))</f>
        <v>-0.33649698015530627</v>
      </c>
      <c r="K29" s="136" t="str">
        <f>'Cotton Lint'!L10</f>
        <v>GTA (2021)</v>
      </c>
      <c r="L29" s="136" t="str">
        <f>'Cotton Lint'!M10</f>
        <v>IHS Global Trade Atlas (GTA) (2021). Unpublished trade data accessed via subscription service. Last Accessed September 2021.</v>
      </c>
    </row>
    <row r="30" spans="1:12" x14ac:dyDescent="0.3">
      <c r="A30" s="37" t="str">
        <f>+'Cotton Lint'!B11</f>
        <v>Indonesia</v>
      </c>
      <c r="B30" s="6" t="s">
        <v>46</v>
      </c>
      <c r="C30" s="32">
        <f>'Cotton Lint'!D11</f>
        <v>49.2</v>
      </c>
      <c r="D30" s="32">
        <f>'Cotton Lint'!E11</f>
        <v>12.7</v>
      </c>
      <c r="E30" s="32">
        <f>'Cotton Lint'!F11</f>
        <v>31</v>
      </c>
      <c r="F30" s="32">
        <f>'Cotton Lint'!G11</f>
        <v>42.3</v>
      </c>
      <c r="G30" s="32">
        <f>'Cotton Lint'!H11</f>
        <v>35.299999999999997</v>
      </c>
      <c r="H30" s="23">
        <v>-0.16</v>
      </c>
      <c r="I30" s="36">
        <f t="shared" si="1"/>
        <v>34.1</v>
      </c>
      <c r="J30" s="23">
        <f t="shared" si="2"/>
        <v>3.5190615835777095E-2</v>
      </c>
      <c r="K30" s="38" t="str">
        <f>'Cotton Lint'!L11</f>
        <v>GTA (2021)</v>
      </c>
      <c r="L30" s="38" t="str">
        <f>'Cotton Lint'!M11</f>
        <v>IHS Global Trade Atlas (GTA) (2021). Unpublished trade data accessed via subscription service. Last Accessed September 2021.</v>
      </c>
    </row>
    <row r="31" spans="1:12" x14ac:dyDescent="0.3">
      <c r="A31" s="22" t="s">
        <v>245</v>
      </c>
      <c r="B31" s="6" t="s">
        <v>46</v>
      </c>
      <c r="C31" s="32">
        <f>Sugarcane!D9</f>
        <v>3.2253769999999999</v>
      </c>
      <c r="D31" s="32">
        <f>Sugarcane!E9</f>
        <v>1.589742</v>
      </c>
      <c r="E31" s="32">
        <f>Sugarcane!F9</f>
        <v>1.925125</v>
      </c>
      <c r="F31" s="32">
        <f>Sugarcane!G9</f>
        <v>2.7363599999999999</v>
      </c>
      <c r="G31" s="32">
        <f>Sugarcane!H9</f>
        <v>1.7270749999999999</v>
      </c>
      <c r="H31" s="23">
        <f t="shared" si="0"/>
        <v>-0.36884218450788642</v>
      </c>
      <c r="I31" s="36">
        <f t="shared" si="1"/>
        <v>2.2407357999999999</v>
      </c>
      <c r="J31" s="23">
        <f t="shared" si="2"/>
        <v>-0.22923755669900936</v>
      </c>
      <c r="K31" s="8" t="str">
        <f>Sugarcane!L9</f>
        <v>GTA (2021)</v>
      </c>
      <c r="L31" s="8" t="str">
        <f>Sugarcane!M9</f>
        <v>IHS Global Trade Atlas (GTA) (2021). Unpublished trade data accessed via subscription service. Last Accessed September 2021.</v>
      </c>
    </row>
    <row r="32" spans="1:12" x14ac:dyDescent="0.3">
      <c r="A32" s="37" t="str">
        <f>Sugarcane!B10</f>
        <v>New Zealand</v>
      </c>
      <c r="B32" s="6" t="s">
        <v>46</v>
      </c>
      <c r="C32" s="32">
        <f>Sugarcane!D10</f>
        <v>1.400142</v>
      </c>
      <c r="D32" s="32">
        <f>Sugarcane!E10</f>
        <v>0.34904499999999999</v>
      </c>
      <c r="E32" s="32">
        <f>Sugarcane!F10</f>
        <v>0.35948400000000003</v>
      </c>
      <c r="F32" s="32">
        <f>Sugarcane!G10</f>
        <v>1.6306259999999999</v>
      </c>
      <c r="G32" s="32">
        <f>Sugarcane!H10</f>
        <v>1.4304140000000001</v>
      </c>
      <c r="H32" s="23">
        <f t="shared" si="0"/>
        <v>-0.12278229342596025</v>
      </c>
      <c r="I32" s="36">
        <f t="shared" si="1"/>
        <v>1.0339422</v>
      </c>
      <c r="J32" s="23">
        <f t="shared" si="2"/>
        <v>0.38345644466392814</v>
      </c>
      <c r="K32" s="8" t="str">
        <f>Sugarcane!L10</f>
        <v>GTA (2021)</v>
      </c>
      <c r="L32" s="8" t="str">
        <f>Sugarcane!M10</f>
        <v>IHS Global Trade Atlas (GTA) (2021). Unpublished trade data accessed via subscription service. Last Accessed September 2021.</v>
      </c>
    </row>
    <row r="33" spans="1:12" x14ac:dyDescent="0.3">
      <c r="A33" s="37" t="str">
        <f>Sugarcane!B11</f>
        <v>Papua New Guinea</v>
      </c>
      <c r="B33" s="6" t="s">
        <v>46</v>
      </c>
      <c r="C33" s="32">
        <f>Sugarcane!D11</f>
        <v>0.13613900000000001</v>
      </c>
      <c r="D33" s="32">
        <f>Sugarcane!E11</f>
        <v>4.8055E-2</v>
      </c>
      <c r="E33" s="32">
        <f>Sugarcane!F11</f>
        <v>0.678817</v>
      </c>
      <c r="F33" s="32">
        <f>Sugarcane!G11</f>
        <v>4.8578000000000003E-2</v>
      </c>
      <c r="G33" s="32">
        <f>Sugarcane!H11</f>
        <v>2.1724E-2</v>
      </c>
      <c r="H33" s="23">
        <f t="shared" si="0"/>
        <v>-0.55280167977273664</v>
      </c>
      <c r="I33" s="36">
        <f t="shared" si="1"/>
        <v>0.18666259999999998</v>
      </c>
      <c r="J33" s="23">
        <f t="shared" si="2"/>
        <v>-0.88361889312588593</v>
      </c>
      <c r="K33" s="8" t="str">
        <f>Sugarcane!L11</f>
        <v>GTA (2021)</v>
      </c>
      <c r="L33" s="8" t="str">
        <f>Sugarcane!M11</f>
        <v>IHS Global Trade Atlas (GTA) (2021). Unpublished trade data accessed via subscription service. Last Accessed September 2021.</v>
      </c>
    </row>
    <row r="34" spans="1:12" x14ac:dyDescent="0.3">
      <c r="A34" s="37" t="str">
        <f>Sugarcane!B12</f>
        <v>Philippines</v>
      </c>
      <c r="B34" s="6" t="s">
        <v>46</v>
      </c>
      <c r="C34" s="32">
        <f>Sugarcane!D12</f>
        <v>0.260494</v>
      </c>
      <c r="D34" s="32">
        <f>Sugarcane!E12</f>
        <v>0.54203500000000004</v>
      </c>
      <c r="E34" s="32">
        <f>Sugarcane!F12</f>
        <v>0.32985599999999998</v>
      </c>
      <c r="F34" s="32">
        <f>Sugarcane!G12</f>
        <v>0</v>
      </c>
      <c r="G34" s="32">
        <f>Sugarcane!H12</f>
        <v>6.2000000000000003E-5</v>
      </c>
      <c r="H34" s="23" t="str">
        <f t="shared" si="0"/>
        <v>N/A</v>
      </c>
      <c r="I34" s="36">
        <f t="shared" si="1"/>
        <v>0.22648940000000001</v>
      </c>
      <c r="J34" s="23">
        <f t="shared" si="2"/>
        <v>-0.99972625650471947</v>
      </c>
      <c r="K34" s="8" t="str">
        <f>Sugarcane!L12</f>
        <v>GTA (2021)</v>
      </c>
      <c r="L34" s="8" t="str">
        <f>Sugarcane!M12</f>
        <v>IHS Global Trade Atlas (GTA) (2021). Unpublished trade data accessed via subscription service. Last Accessed September 2021.</v>
      </c>
    </row>
    <row r="35" spans="1:12" x14ac:dyDescent="0.3">
      <c r="A35" s="9" t="s">
        <v>334</v>
      </c>
      <c r="B35" s="9" t="s">
        <v>46</v>
      </c>
      <c r="C35" s="33">
        <f>SUM(C36)</f>
        <v>325.40530799999999</v>
      </c>
      <c r="D35" s="33">
        <f t="shared" ref="D35:G35" si="3">SUM(D36)</f>
        <v>365.11487699999998</v>
      </c>
      <c r="E35" s="33">
        <f t="shared" si="3"/>
        <v>458.23013600000002</v>
      </c>
      <c r="F35" s="33">
        <f t="shared" si="3"/>
        <v>461.71497599999998</v>
      </c>
      <c r="G35" s="33">
        <f t="shared" si="3"/>
        <v>288.30492199999998</v>
      </c>
      <c r="H35" s="21">
        <f t="shared" si="0"/>
        <v>-0.37557814455643734</v>
      </c>
      <c r="I35" s="31">
        <f t="shared" si="1"/>
        <v>379.75404379999998</v>
      </c>
      <c r="J35" s="21">
        <f t="shared" si="2"/>
        <v>-0.2408114496554572</v>
      </c>
      <c r="K35" s="25"/>
      <c r="L35" s="25"/>
    </row>
    <row r="36" spans="1:12" x14ac:dyDescent="0.3">
      <c r="A36" s="22" t="s">
        <v>17</v>
      </c>
      <c r="B36" s="6" t="s">
        <v>46</v>
      </c>
      <c r="C36" s="32">
        <f>Horticulture!D15</f>
        <v>325.40530799999999</v>
      </c>
      <c r="D36" s="32">
        <f>Horticulture!E15</f>
        <v>365.11487699999998</v>
      </c>
      <c r="E36" s="32">
        <f>Horticulture!F15</f>
        <v>458.23013600000002</v>
      </c>
      <c r="F36" s="32">
        <f>Horticulture!G15</f>
        <v>461.71497599999998</v>
      </c>
      <c r="G36" s="32">
        <f>Horticulture!H15</f>
        <v>288.30492199999998</v>
      </c>
      <c r="H36" s="23">
        <f t="shared" si="0"/>
        <v>-0.37557814455643734</v>
      </c>
      <c r="I36" s="36">
        <f t="shared" si="1"/>
        <v>379.75404379999998</v>
      </c>
      <c r="J36" s="23">
        <f t="shared" si="2"/>
        <v>-0.2408114496554572</v>
      </c>
      <c r="K36" s="8" t="str">
        <f>Horticulture!L15</f>
        <v>GTA (2021)</v>
      </c>
      <c r="L36" s="8" t="str">
        <f>Horticulture!M15</f>
        <v>IHS Global Trade Atlas (GTA) (2021). Unpublished trade data accessed via subscription service. Last Accessed September 2021.</v>
      </c>
    </row>
    <row r="37" spans="1:12" x14ac:dyDescent="0.3">
      <c r="A37" s="37" t="str">
        <f>Horticulture!B16</f>
        <v>China</v>
      </c>
      <c r="B37" s="6" t="s">
        <v>46</v>
      </c>
      <c r="C37" s="32">
        <f>Horticulture!D16</f>
        <v>43.541547999999999</v>
      </c>
      <c r="D37" s="32">
        <f>Horticulture!E16</f>
        <v>65.436750000000004</v>
      </c>
      <c r="E37" s="32">
        <f>Horticulture!F16</f>
        <v>101.623346</v>
      </c>
      <c r="F37" s="32">
        <f>Horticulture!G16</f>
        <v>128.267653</v>
      </c>
      <c r="G37" s="32">
        <f>Horticulture!H16</f>
        <v>58.749277999999997</v>
      </c>
      <c r="H37" s="23">
        <f t="shared" si="0"/>
        <v>-0.54197900541611999</v>
      </c>
      <c r="I37" s="36">
        <f t="shared" si="1"/>
        <v>79.523714999999996</v>
      </c>
      <c r="J37" s="23">
        <f t="shared" si="2"/>
        <v>-0.26123574584009313</v>
      </c>
      <c r="K37" s="8" t="str">
        <f>Horticulture!L16</f>
        <v>GTA (2021)</v>
      </c>
      <c r="L37" s="8" t="str">
        <f>Horticulture!M16</f>
        <v>IHS Global Trade Atlas (GTA) (2021). Unpublished trade data accessed via subscription service. Last Accessed September 2021.</v>
      </c>
    </row>
    <row r="38" spans="1:12" x14ac:dyDescent="0.3">
      <c r="A38" s="37" t="str">
        <f>Horticulture!B17</f>
        <v>Japan</v>
      </c>
      <c r="B38" s="6" t="s">
        <v>46</v>
      </c>
      <c r="C38" s="32">
        <f>Horticulture!D17</f>
        <v>40.641117999999999</v>
      </c>
      <c r="D38" s="32">
        <f>Horticulture!E17</f>
        <v>39.011539999999997</v>
      </c>
      <c r="E38" s="32">
        <f>Horticulture!F17</f>
        <v>56.570425999999998</v>
      </c>
      <c r="F38" s="32">
        <f>Horticulture!G17</f>
        <v>50.645496999999999</v>
      </c>
      <c r="G38" s="32">
        <f>Horticulture!H17</f>
        <v>35.594763999999998</v>
      </c>
      <c r="H38" s="23">
        <f t="shared" si="0"/>
        <v>-0.29717810845058945</v>
      </c>
      <c r="I38" s="36">
        <f t="shared" si="1"/>
        <v>44.492668999999999</v>
      </c>
      <c r="J38" s="23">
        <f t="shared" si="2"/>
        <v>-0.19998586733468382</v>
      </c>
      <c r="K38" s="8" t="str">
        <f>Horticulture!L17</f>
        <v>GTA (2021)</v>
      </c>
      <c r="L38" s="8" t="str">
        <f>Horticulture!M17</f>
        <v>IHS Global Trade Atlas (GTA) (2021). Unpublished trade data accessed via subscription service. Last Accessed September 2021.</v>
      </c>
    </row>
    <row r="39" spans="1:12" x14ac:dyDescent="0.3">
      <c r="A39" s="37" t="str">
        <f>Horticulture!B18</f>
        <v>Hong Kong</v>
      </c>
      <c r="B39" s="6" t="s">
        <v>46</v>
      </c>
      <c r="C39" s="32">
        <f>Horticulture!D18</f>
        <v>45.133851</v>
      </c>
      <c r="D39" s="32">
        <f>Horticulture!E18</f>
        <v>35.521605000000001</v>
      </c>
      <c r="E39" s="32">
        <f>Horticulture!F18</f>
        <v>29.730609000000001</v>
      </c>
      <c r="F39" s="32">
        <f>Horticulture!G18</f>
        <v>22.837375000000002</v>
      </c>
      <c r="G39" s="32">
        <f>Horticulture!H18</f>
        <v>23.309222999999999</v>
      </c>
      <c r="H39" s="23">
        <f t="shared" si="0"/>
        <v>2.0661218725882335E-2</v>
      </c>
      <c r="I39" s="36">
        <f t="shared" si="1"/>
        <v>31.306532600000004</v>
      </c>
      <c r="J39" s="23">
        <f t="shared" si="2"/>
        <v>-0.25545178388743073</v>
      </c>
      <c r="K39" s="8" t="str">
        <f>Horticulture!L18</f>
        <v>GTA (2021)</v>
      </c>
      <c r="L39" s="8" t="str">
        <f>Horticulture!M18</f>
        <v>IHS Global Trade Atlas (GTA) (2021). Unpublished trade data accessed via subscription service. Last Accessed September 2021.</v>
      </c>
    </row>
    <row r="40" spans="1:12" x14ac:dyDescent="0.3">
      <c r="A40" s="22" t="s">
        <v>335</v>
      </c>
      <c r="B40" s="6" t="s">
        <v>46</v>
      </c>
      <c r="C40" s="32">
        <f>Wine!D8</f>
        <v>507.65681699999999</v>
      </c>
      <c r="D40" s="32">
        <f>Wine!E8</f>
        <v>519.64791400000001</v>
      </c>
      <c r="E40" s="32">
        <f>Wine!F8</f>
        <v>539.84796500000004</v>
      </c>
      <c r="F40" s="32">
        <f>Wine!G8</f>
        <v>550.59447999999998</v>
      </c>
      <c r="G40" s="32">
        <f>Wine!H8</f>
        <v>519.95409800000004</v>
      </c>
      <c r="H40" s="23">
        <f t="shared" si="0"/>
        <v>-5.564963528148692E-2</v>
      </c>
      <c r="I40" s="36">
        <f t="shared" si="1"/>
        <v>527.54025479999996</v>
      </c>
      <c r="J40" s="23">
        <f t="shared" si="2"/>
        <v>-1.4380242514148933E-2</v>
      </c>
      <c r="K40" s="8" t="str">
        <f>Wine!L8</f>
        <v>GTA (2021)</v>
      </c>
      <c r="L40" s="8" t="str">
        <f>Wine!M8</f>
        <v>IHS Global Trade Atlas (GTA) (2021). Unpublished trade data accessed via subscription service. Last Accessed September 2021.</v>
      </c>
    </row>
    <row r="41" spans="1:12" x14ac:dyDescent="0.3">
      <c r="A41" s="37" t="str">
        <f>Wine!B9</f>
        <v>United States</v>
      </c>
      <c r="B41" s="6" t="s">
        <v>46</v>
      </c>
      <c r="C41" s="32">
        <f>Wine!D9</f>
        <v>245.37803600000001</v>
      </c>
      <c r="D41" s="32">
        <f>Wine!E9</f>
        <v>226.765502</v>
      </c>
      <c r="E41" s="32">
        <f>Wine!F9</f>
        <v>244.55725899999999</v>
      </c>
      <c r="F41" s="32">
        <f>Wine!G9</f>
        <v>251.65068600000001</v>
      </c>
      <c r="G41" s="32">
        <f>Wine!H9</f>
        <v>227.615216</v>
      </c>
      <c r="H41" s="23">
        <f t="shared" si="0"/>
        <v>-9.5511243708670035E-2</v>
      </c>
      <c r="I41" s="36">
        <f t="shared" si="1"/>
        <v>239.19333979999996</v>
      </c>
      <c r="J41" s="23">
        <f t="shared" si="2"/>
        <v>-4.8404875360162358E-2</v>
      </c>
      <c r="K41" s="8" t="str">
        <f>Wine!L9</f>
        <v>GTA (2021)</v>
      </c>
      <c r="L41" s="8" t="str">
        <f>Wine!M9</f>
        <v>IHS Global Trade Atlas (GTA) (2021). Unpublished trade data accessed via subscription service. Last Accessed September 2021.</v>
      </c>
    </row>
    <row r="42" spans="1:12" x14ac:dyDescent="0.3">
      <c r="A42" s="37" t="str">
        <f>Wine!B10</f>
        <v>United Kingdom</v>
      </c>
      <c r="B42" s="6" t="s">
        <v>46</v>
      </c>
      <c r="C42" s="32">
        <f>Wine!D10</f>
        <v>51.020111</v>
      </c>
      <c r="D42" s="32">
        <f>Wine!E10</f>
        <v>85.769851000000003</v>
      </c>
      <c r="E42" s="32">
        <f>Wine!F10</f>
        <v>88.115504999999999</v>
      </c>
      <c r="F42" s="32">
        <f>Wine!G10</f>
        <v>94.467372999999995</v>
      </c>
      <c r="G42" s="32">
        <f>Wine!H10</f>
        <v>114.824506</v>
      </c>
      <c r="H42" s="23">
        <f t="shared" si="0"/>
        <v>0.21549379805448821</v>
      </c>
      <c r="I42" s="36">
        <f t="shared" si="1"/>
        <v>86.839469199999996</v>
      </c>
      <c r="J42" s="23">
        <f t="shared" si="2"/>
        <v>0.32226172105621309</v>
      </c>
      <c r="K42" s="8" t="str">
        <f>Wine!L10</f>
        <v>GTA (2021)</v>
      </c>
      <c r="L42" s="8" t="str">
        <f>Wine!M10</f>
        <v>IHS Global Trade Atlas (GTA) (2021). Unpublished trade data accessed via subscription service. Last Accessed September 2021.</v>
      </c>
    </row>
    <row r="43" spans="1:12" x14ac:dyDescent="0.3">
      <c r="A43" s="37" t="str">
        <f>Wine!B11</f>
        <v>China</v>
      </c>
      <c r="B43" s="6" t="s">
        <v>46</v>
      </c>
      <c r="C43" s="32">
        <f>Wine!D11</f>
        <v>57.536251</v>
      </c>
      <c r="D43" s="32">
        <f>Wine!E11</f>
        <v>65.526891000000006</v>
      </c>
      <c r="E43" s="32">
        <f>Wine!F11</f>
        <v>58.363261999999999</v>
      </c>
      <c r="F43" s="32">
        <f>Wine!G11</f>
        <v>60.343032000000001</v>
      </c>
      <c r="G43" s="32">
        <f>Wine!H11</f>
        <v>23.049233000000001</v>
      </c>
      <c r="H43" s="23">
        <f t="shared" si="0"/>
        <v>-0.61802991603073576</v>
      </c>
      <c r="I43" s="36">
        <f t="shared" si="1"/>
        <v>52.9637338</v>
      </c>
      <c r="J43" s="23">
        <f t="shared" si="2"/>
        <v>-0.56481102546437167</v>
      </c>
      <c r="K43" s="8" t="str">
        <f>Wine!L11</f>
        <v>GTA (2021)</v>
      </c>
      <c r="L43" s="8" t="str">
        <f>Wine!M11</f>
        <v>IHS Global Trade Atlas (GTA) (2021). Unpublished trade data accessed via subscription service. Last Accessed September 2021.</v>
      </c>
    </row>
    <row r="44" spans="1:12" x14ac:dyDescent="0.3">
      <c r="A44" s="37"/>
      <c r="B44" s="6"/>
      <c r="C44" s="32"/>
      <c r="D44" s="32"/>
      <c r="E44" s="32"/>
      <c r="F44" s="32"/>
      <c r="G44" s="32"/>
      <c r="H44" s="23"/>
      <c r="I44" s="36"/>
      <c r="J44" s="23"/>
      <c r="K44" s="8"/>
      <c r="L44" s="8"/>
    </row>
    <row r="45" spans="1:12" x14ac:dyDescent="0.3">
      <c r="A45" s="15" t="s">
        <v>251</v>
      </c>
      <c r="B45" s="9" t="s">
        <v>46</v>
      </c>
      <c r="C45" s="33">
        <v>3042</v>
      </c>
      <c r="D45" s="33">
        <v>3672.1</v>
      </c>
      <c r="E45" s="33">
        <v>4150</v>
      </c>
      <c r="F45" s="33">
        <v>4316.5</v>
      </c>
      <c r="G45" s="33">
        <v>3655</v>
      </c>
      <c r="H45" s="21">
        <f t="shared" si="0"/>
        <v>-0.15324916019923551</v>
      </c>
      <c r="I45" s="31">
        <f t="shared" si="1"/>
        <v>3767.12</v>
      </c>
      <c r="J45" s="21">
        <f t="shared" si="2"/>
        <v>-2.9762789611161855E-2</v>
      </c>
      <c r="K45" s="25"/>
      <c r="L45" s="25"/>
    </row>
    <row r="46" spans="1:12" x14ac:dyDescent="0.3">
      <c r="A46" s="22" t="s">
        <v>252</v>
      </c>
      <c r="B46" s="6" t="s">
        <v>46</v>
      </c>
      <c r="C46" s="32">
        <f>Beef!D13</f>
        <v>1303.5414880000001</v>
      </c>
      <c r="D46" s="32">
        <f>Beef!E13</f>
        <v>1479.4857260000001</v>
      </c>
      <c r="E46" s="32">
        <f>Beef!F13</f>
        <v>1802.57511</v>
      </c>
      <c r="F46" s="32">
        <f>Beef!G13</f>
        <v>2103.456326</v>
      </c>
      <c r="G46" s="32">
        <f>Beef!H13</f>
        <v>1551.72783</v>
      </c>
      <c r="H46" s="23">
        <f t="shared" si="0"/>
        <v>-0.26229614999859996</v>
      </c>
      <c r="I46" s="36">
        <f t="shared" si="1"/>
        <v>1648.1572960000001</v>
      </c>
      <c r="J46" s="23">
        <f t="shared" si="2"/>
        <v>-5.850744114899098E-2</v>
      </c>
      <c r="K46" s="8" t="str">
        <f>Beef!L13</f>
        <v>GTA (2021)</v>
      </c>
      <c r="L46" s="8" t="str">
        <f>Beef!M13</f>
        <v>IHS Global Trade Atlas (GTA) (2021). Unpublished trade data accessed via subscription service. Last Accessed September 2021.</v>
      </c>
    </row>
    <row r="47" spans="1:12" x14ac:dyDescent="0.3">
      <c r="A47" s="37" t="str">
        <f>Beef!B14</f>
        <v>China</v>
      </c>
      <c r="B47" s="6" t="s">
        <v>46</v>
      </c>
      <c r="C47" s="32">
        <f>Beef!D14</f>
        <v>148.58690799999999</v>
      </c>
      <c r="D47" s="32">
        <f>Beef!E14</f>
        <v>248.96375599999999</v>
      </c>
      <c r="E47" s="32">
        <f>Beef!F14</f>
        <v>500.51808799999998</v>
      </c>
      <c r="F47" s="32">
        <f>Beef!G14</f>
        <v>747.03017199999999</v>
      </c>
      <c r="G47" s="32">
        <f>Beef!H14</f>
        <v>497.868604</v>
      </c>
      <c r="H47" s="23">
        <f t="shared" si="0"/>
        <v>-0.33353615066567888</v>
      </c>
      <c r="I47" s="36">
        <f t="shared" si="1"/>
        <v>428.59350560000001</v>
      </c>
      <c r="J47" s="23">
        <f t="shared" si="2"/>
        <v>0.16163357002579826</v>
      </c>
      <c r="K47" s="8" t="str">
        <f>Beef!L14</f>
        <v>GTA (2021)</v>
      </c>
      <c r="L47" s="8" t="str">
        <f>Beef!M14</f>
        <v>IHS Global Trade Atlas (GTA) (2021). Unpublished trade data accessed via subscription service. Last Accessed September 2021.</v>
      </c>
    </row>
    <row r="48" spans="1:12" x14ac:dyDescent="0.3">
      <c r="A48" s="37" t="str">
        <f>Beef!B15</f>
        <v>Japan</v>
      </c>
      <c r="B48" s="6" t="s">
        <v>46</v>
      </c>
      <c r="C48" s="32">
        <f>Beef!D15</f>
        <v>357.53304900000001</v>
      </c>
      <c r="D48" s="32">
        <f>Beef!E15</f>
        <v>383.31357100000002</v>
      </c>
      <c r="E48" s="32">
        <f>Beef!F15</f>
        <v>401.82379700000001</v>
      </c>
      <c r="F48" s="32">
        <f>Beef!G15</f>
        <v>412.29277200000001</v>
      </c>
      <c r="G48" s="32">
        <f>Beef!H15</f>
        <v>334.40634699999998</v>
      </c>
      <c r="H48" s="23">
        <f t="shared" si="0"/>
        <v>-0.18891047888659085</v>
      </c>
      <c r="I48" s="36">
        <f t="shared" si="1"/>
        <v>377.87390720000002</v>
      </c>
      <c r="J48" s="23">
        <f t="shared" si="2"/>
        <v>-0.11503191771585763</v>
      </c>
      <c r="K48" s="8" t="str">
        <f>Beef!L15</f>
        <v>GTA (2021)</v>
      </c>
      <c r="L48" s="8" t="str">
        <f>Beef!M15</f>
        <v>IHS Global Trade Atlas (GTA) (2021). Unpublished trade data accessed via subscription service. Last Accessed September 2021.</v>
      </c>
    </row>
    <row r="49" spans="1:12" x14ac:dyDescent="0.3">
      <c r="A49" s="37" t="str">
        <f>Beef!B16</f>
        <v>United States</v>
      </c>
      <c r="B49" s="6" t="s">
        <v>46</v>
      </c>
      <c r="C49" s="32">
        <f>Beef!D16</f>
        <v>248.26018300000001</v>
      </c>
      <c r="D49" s="32">
        <f>Beef!E16</f>
        <v>282.82933000000003</v>
      </c>
      <c r="E49" s="32">
        <f>Beef!F16</f>
        <v>267.38518199999999</v>
      </c>
      <c r="F49" s="32">
        <f>Beef!G16</f>
        <v>328.57691699999998</v>
      </c>
      <c r="G49" s="32">
        <f>Beef!H16</f>
        <v>201.10789399999999</v>
      </c>
      <c r="H49" s="23">
        <f t="shared" si="0"/>
        <v>-0.38794272027331733</v>
      </c>
      <c r="I49" s="36">
        <f t="shared" si="1"/>
        <v>265.63190120000002</v>
      </c>
      <c r="J49" s="23">
        <f t="shared" si="2"/>
        <v>-0.24290759847936527</v>
      </c>
      <c r="K49" s="8" t="str">
        <f>Beef!L16</f>
        <v>GTA (2021)</v>
      </c>
      <c r="L49" s="8" t="str">
        <f>Beef!M16</f>
        <v>IHS Global Trade Atlas (GTA) (2021). Unpublished trade data accessed via subscription service. Last Accessed September 2021.</v>
      </c>
    </row>
    <row r="50" spans="1:12" x14ac:dyDescent="0.3">
      <c r="A50" s="22" t="s">
        <v>253</v>
      </c>
      <c r="B50" s="6" t="s">
        <v>46</v>
      </c>
      <c r="C50" s="32">
        <f>'Sheep Meat'!D11</f>
        <v>561.29422999999997</v>
      </c>
      <c r="D50" s="32">
        <f>'Sheep Meat'!E11</f>
        <v>741.03124200000002</v>
      </c>
      <c r="E50" s="32">
        <f>'Sheep Meat'!F11</f>
        <v>927.05228799999998</v>
      </c>
      <c r="F50" s="32">
        <f>'Sheep Meat'!G11</f>
        <v>1097.935342</v>
      </c>
      <c r="G50" s="32">
        <f>'Sheep Meat'!H11</f>
        <v>1051.42516</v>
      </c>
      <c r="H50" s="23">
        <f t="shared" si="0"/>
        <v>-4.2361494544184142E-2</v>
      </c>
      <c r="I50" s="36">
        <f t="shared" si="1"/>
        <v>875.74765239999999</v>
      </c>
      <c r="J50" s="23">
        <f t="shared" si="2"/>
        <v>0.20060288727986086</v>
      </c>
      <c r="K50" s="8" t="str">
        <f>'Sheep Meat'!L11</f>
        <v>GTA (2021)</v>
      </c>
      <c r="L50" s="8" t="str">
        <f>'Sheep Meat'!M11</f>
        <v>IHS Global Trade Atlas (GTA) (2021). Unpublished trade data accessed via subscription service. Last Accessed September 2021.</v>
      </c>
    </row>
    <row r="51" spans="1:12" x14ac:dyDescent="0.3">
      <c r="A51" s="37" t="str">
        <f>'Sheep Meat'!B12</f>
        <v>China</v>
      </c>
      <c r="B51" s="6" t="s">
        <v>46</v>
      </c>
      <c r="C51" s="32">
        <f>'Sheep Meat'!D12</f>
        <v>102.672606</v>
      </c>
      <c r="D51" s="32">
        <f>'Sheep Meat'!E12</f>
        <v>224.30800500000001</v>
      </c>
      <c r="E51" s="32">
        <f>'Sheep Meat'!F12</f>
        <v>350.99996499999997</v>
      </c>
      <c r="F51" s="32">
        <f>'Sheep Meat'!G12</f>
        <v>482.13167399999998</v>
      </c>
      <c r="G51" s="32">
        <f>'Sheep Meat'!H12</f>
        <v>454.601159</v>
      </c>
      <c r="H51" s="23">
        <f t="shared" si="0"/>
        <v>-5.7101651861188429E-2</v>
      </c>
      <c r="I51" s="36">
        <f t="shared" si="1"/>
        <v>322.9426818</v>
      </c>
      <c r="J51" s="23">
        <f t="shared" si="2"/>
        <v>0.40768373033310201</v>
      </c>
      <c r="K51" s="8" t="str">
        <f>'Sheep Meat'!L12</f>
        <v>GTA (2021)</v>
      </c>
      <c r="L51" s="8" t="str">
        <f>'Sheep Meat'!M12</f>
        <v>IHS Global Trade Atlas (GTA) (2021). Unpublished trade data accessed via subscription service. Last Accessed September 2021.</v>
      </c>
    </row>
    <row r="52" spans="1:12" x14ac:dyDescent="0.3">
      <c r="A52" s="37" t="str">
        <f>'Sheep Meat'!B13</f>
        <v>United States</v>
      </c>
      <c r="B52" s="6" t="s">
        <v>46</v>
      </c>
      <c r="C52" s="32">
        <f>'Sheep Meat'!D13</f>
        <v>182.64807999999999</v>
      </c>
      <c r="D52" s="32">
        <f>'Sheep Meat'!E13</f>
        <v>184.131866</v>
      </c>
      <c r="E52" s="32">
        <f>'Sheep Meat'!F13</f>
        <v>237.47554500000001</v>
      </c>
      <c r="F52" s="32">
        <f>'Sheep Meat'!G13</f>
        <v>264.10393299999998</v>
      </c>
      <c r="G52" s="32">
        <f>'Sheep Meat'!H13</f>
        <v>260.48960899999997</v>
      </c>
      <c r="H52" s="23">
        <f t="shared" si="0"/>
        <v>-1.3685233532663821E-2</v>
      </c>
      <c r="I52" s="36">
        <f t="shared" si="1"/>
        <v>225.76980659999998</v>
      </c>
      <c r="J52" s="23">
        <f t="shared" si="2"/>
        <v>0.1537840817727838</v>
      </c>
      <c r="K52" s="8" t="str">
        <f>'Sheep Meat'!L13</f>
        <v>GTA (2021)</v>
      </c>
      <c r="L52" s="8" t="str">
        <f>'Sheep Meat'!M13</f>
        <v>IHS Global Trade Atlas (GTA) (2021). Unpublished trade data accessed via subscription service. Last Accessed September 2021.</v>
      </c>
    </row>
    <row r="53" spans="1:12" x14ac:dyDescent="0.3">
      <c r="A53" s="37" t="str">
        <f>'Sheep Meat'!B14</f>
        <v>Japan</v>
      </c>
      <c r="B53" s="6" t="s">
        <v>46</v>
      </c>
      <c r="C53" s="32">
        <f>'Sheep Meat'!D14</f>
        <v>34.346775999999998</v>
      </c>
      <c r="D53" s="32">
        <f>'Sheep Meat'!E14</f>
        <v>46.511450000000004</v>
      </c>
      <c r="E53" s="32">
        <f>'Sheep Meat'!F14</f>
        <v>50.965282999999999</v>
      </c>
      <c r="F53" s="32">
        <f>'Sheep Meat'!G14</f>
        <v>56.346240999999999</v>
      </c>
      <c r="G53" s="32">
        <f>'Sheep Meat'!H14</f>
        <v>57.385254000000003</v>
      </c>
      <c r="H53" s="23">
        <f t="shared" si="0"/>
        <v>1.8439792638518693E-2</v>
      </c>
      <c r="I53" s="36">
        <f t="shared" si="1"/>
        <v>49.111000799999999</v>
      </c>
      <c r="J53" s="23">
        <f t="shared" si="2"/>
        <v>0.16848064721173439</v>
      </c>
      <c r="K53" s="8" t="str">
        <f>'Sheep Meat'!L14</f>
        <v>GTA (2021)</v>
      </c>
      <c r="L53" s="8" t="str">
        <f>'Sheep Meat'!M14</f>
        <v>IHS Global Trade Atlas (GTA) (2021). Unpublished trade data accessed via subscription service. Last Accessed September 2021.</v>
      </c>
    </row>
    <row r="54" spans="1:12" x14ac:dyDescent="0.3">
      <c r="A54" s="22" t="s">
        <v>336</v>
      </c>
      <c r="B54" s="6" t="s">
        <v>46</v>
      </c>
      <c r="C54" s="32">
        <f>+'Goat Meat'!D6</f>
        <v>5.1000430000000003</v>
      </c>
      <c r="D54" s="32">
        <f>+'Goat Meat'!E6</f>
        <v>11.922556999999999</v>
      </c>
      <c r="E54" s="32">
        <f>+'Goat Meat'!F6</f>
        <v>5.7913579999999998</v>
      </c>
      <c r="F54" s="32">
        <f>+'Goat Meat'!G6</f>
        <v>1.3317479999999999</v>
      </c>
      <c r="G54" s="32">
        <f>+'Goat Meat'!H6</f>
        <v>3.1523319999999999</v>
      </c>
      <c r="H54" s="23">
        <f t="shared" ref="H54:H55" si="4">IF(ISBLANK(G54),"N/A",IF(ISNA(G54/F54-1),"N/A",IF(ISERROR(G54/F54-1),"N/A",G54/F54-1)))</f>
        <v>1.3670634384282914</v>
      </c>
      <c r="I54" s="36">
        <f t="shared" ref="I54:I55" si="5">IF(ISBLANK(G54),"",IF(ISNA(AVERAGE(C54:G54)),"N/A",IF(ISERROR(AVERAGE(C54:G54)),"N/A",AVERAGE(C54:G54))))</f>
        <v>5.4596076</v>
      </c>
      <c r="J54" s="23">
        <f t="shared" ref="J54:J55" si="6">IF(ISBLANK(G54),"",IF(ISNA(G54/AVERAGE(C54:G54)-1),"N/A",IF(ISERROR(G54/AVERAGE(C54:G54)-1),"N/A",G54/AVERAGE(C54:G54)-1)))</f>
        <v>-0.42260832078847577</v>
      </c>
      <c r="K54" s="8" t="str">
        <f>+'Goat Meat'!L6</f>
        <v>GTA (2021)</v>
      </c>
      <c r="L54" s="8" t="str">
        <f>+'Goat Meat'!M6</f>
        <v>IHS Global Trade Atlas (GTA) (2021). Unpublished trade data accessed via subscription service. Last Accessed September 2021.</v>
      </c>
    </row>
    <row r="55" spans="1:12" x14ac:dyDescent="0.3">
      <c r="A55" s="39" t="str">
        <f>+'Goat Meat'!B7</f>
        <v>United States</v>
      </c>
      <c r="B55" s="6" t="s">
        <v>46</v>
      </c>
      <c r="C55" s="32">
        <f>+'Goat Meat'!D7</f>
        <v>2.2591329999999998</v>
      </c>
      <c r="D55" s="32">
        <f>+'Goat Meat'!E7</f>
        <v>7.439406</v>
      </c>
      <c r="E55" s="32">
        <f>+'Goat Meat'!F7</f>
        <v>0.12424499999999999</v>
      </c>
      <c r="F55" s="32">
        <f>+'Goat Meat'!G7</f>
        <v>0.63783999999999996</v>
      </c>
      <c r="G55" s="32">
        <f>+'Goat Meat'!H7</f>
        <v>1.340225</v>
      </c>
      <c r="H55" s="23">
        <f t="shared" si="4"/>
        <v>1.1011930891759691</v>
      </c>
      <c r="I55" s="36">
        <f t="shared" si="5"/>
        <v>2.3601698000000004</v>
      </c>
      <c r="J55" s="23">
        <f t="shared" si="6"/>
        <v>-0.43214890725235122</v>
      </c>
      <c r="K55" s="8" t="str">
        <f>+'Goat Meat'!L7</f>
        <v>GTA (2021)</v>
      </c>
      <c r="L55" s="8" t="str">
        <f>+'Goat Meat'!M7</f>
        <v>IHS Global Trade Atlas (GTA) (2021). Unpublished trade data accessed via subscription service. Last Accessed September 2021.</v>
      </c>
    </row>
    <row r="56" spans="1:12" x14ac:dyDescent="0.3">
      <c r="A56" s="39" t="str">
        <f>+'Goat Meat'!B8</f>
        <v>Malaysia</v>
      </c>
      <c r="B56" s="6" t="s">
        <v>46</v>
      </c>
      <c r="C56" s="32">
        <f>+'Goat Meat'!D8</f>
        <v>2.1599200000000001</v>
      </c>
      <c r="D56" s="32">
        <f>+'Goat Meat'!E8</f>
        <v>1.1837169999999999</v>
      </c>
      <c r="E56" s="32">
        <f>+'Goat Meat'!F8</f>
        <v>0.53577900000000001</v>
      </c>
      <c r="F56" s="32">
        <f>+'Goat Meat'!G8</f>
        <v>0.22309999999999999</v>
      </c>
      <c r="G56" s="32">
        <f>+'Goat Meat'!H8</f>
        <v>0.73717999999999995</v>
      </c>
      <c r="H56" s="23">
        <f t="shared" ref="H56" si="7">IF(ISBLANK(G56),"N/A",IF(ISNA(G56/F56-1),"N/A",IF(ISERROR(G56/F56-1),"N/A",G56/F56-1)))</f>
        <v>2.3042581801882562</v>
      </c>
      <c r="I56" s="36">
        <f t="shared" ref="I56" si="8">IF(ISBLANK(G56),"",IF(ISNA(AVERAGE(C56:G56)),"N/A",IF(ISERROR(AVERAGE(C56:G56)),"N/A",AVERAGE(C56:G56))))</f>
        <v>0.9679392</v>
      </c>
      <c r="J56" s="23">
        <f t="shared" ref="J56" si="9">IF(ISBLANK(G56),"",IF(ISNA(G56/AVERAGE(C56:G56)-1),"N/A",IF(ISERROR(G56/AVERAGE(C56:G56)-1),"N/A",G56/AVERAGE(C56:G56)-1)))</f>
        <v>-0.23840257735196602</v>
      </c>
      <c r="K56" s="8" t="str">
        <f>+'Goat Meat'!L8</f>
        <v>GTA (2021)</v>
      </c>
      <c r="L56" s="8" t="str">
        <f>+'Goat Meat'!M8</f>
        <v>IHS Global Trade Atlas (GTA) (2021). Unpublished trade data accessed via subscription service. Last Accessed September 2021.</v>
      </c>
    </row>
    <row r="57" spans="1:12" x14ac:dyDescent="0.3">
      <c r="A57" s="39" t="str">
        <f>+'Goat Meat'!B9</f>
        <v>Trinidad &amp; Tobago</v>
      </c>
      <c r="B57" s="6" t="s">
        <v>46</v>
      </c>
      <c r="C57" s="32">
        <f>+'Goat Meat'!D9</f>
        <v>0</v>
      </c>
      <c r="D57" s="32">
        <f>+'Goat Meat'!E9</f>
        <v>1.144795</v>
      </c>
      <c r="E57" s="32">
        <f>+'Goat Meat'!F9</f>
        <v>3.5063279999999999</v>
      </c>
      <c r="F57" s="32">
        <f>+'Goat Meat'!G9</f>
        <v>0</v>
      </c>
      <c r="G57" s="32">
        <f>+'Goat Meat'!H9</f>
        <v>0</v>
      </c>
      <c r="H57" s="23" t="str">
        <f t="shared" ref="H57" si="10">IF(ISBLANK(G57),"N/A",IF(ISNA(G57/F57-1),"N/A",IF(ISERROR(G57/F57-1),"N/A",G57/F57-1)))</f>
        <v>N/A</v>
      </c>
      <c r="I57" s="36">
        <f t="shared" ref="I57" si="11">IF(ISBLANK(G57),"",IF(ISNA(AVERAGE(C57:G57)),"N/A",IF(ISERROR(AVERAGE(C57:G57)),"N/A",AVERAGE(C57:G57))))</f>
        <v>0.93022460000000007</v>
      </c>
      <c r="J57" s="23">
        <f t="shared" ref="J57" si="12">IF(ISBLANK(G57),"",IF(ISNA(G57/AVERAGE(C57:G57)-1),"N/A",IF(ISERROR(G57/AVERAGE(C57:G57)-1),"N/A",G57/AVERAGE(C57:G57)-1)))</f>
        <v>-1</v>
      </c>
      <c r="K57" s="8" t="str">
        <f>+'Goat Meat'!L9</f>
        <v>GTA (2021)</v>
      </c>
      <c r="L57" s="8" t="str">
        <f>+'Goat Meat'!M9</f>
        <v>IHS Global Trade Atlas (GTA) (2021). Unpublished trade data accessed via subscription service. Last Accessed September 2021.</v>
      </c>
    </row>
    <row r="58" spans="1:12" x14ac:dyDescent="0.3">
      <c r="A58" s="22" t="s">
        <v>22</v>
      </c>
      <c r="B58" s="6" t="s">
        <v>46</v>
      </c>
      <c r="C58" s="32">
        <f>Pork!D7</f>
        <v>29.385045999999999</v>
      </c>
      <c r="D58" s="32">
        <f>Pork!E7</f>
        <v>31.189703000000002</v>
      </c>
      <c r="E58" s="32">
        <f>Pork!F7</f>
        <v>30.080116</v>
      </c>
      <c r="F58" s="32">
        <f>Pork!G7</f>
        <v>23.306242999999998</v>
      </c>
      <c r="G58" s="32">
        <f>Pork!H7</f>
        <v>21.528462000000001</v>
      </c>
      <c r="H58" s="23">
        <f t="shared" ref="H58" si="13">IF(ISBLANK(G58),"N/A",IF(ISNA(G58/F58-1),"N/A",IF(ISERROR(G58/F58-1),"N/A",G58/F58-1)))</f>
        <v>-7.6279175498170093E-2</v>
      </c>
      <c r="I58" s="36">
        <f t="shared" ref="I58" si="14">IF(ISBLANK(G58),"",IF(ISNA(AVERAGE(C58:G58)),"N/A",IF(ISERROR(AVERAGE(C58:G58)),"N/A",AVERAGE(C58:G58))))</f>
        <v>27.097913999999996</v>
      </c>
      <c r="J58" s="23">
        <f t="shared" ref="J58" si="15">IF(ISBLANK(G58),"",IF(ISNA(G58/AVERAGE(C58:G58)-1),"N/A",IF(ISERROR(G58/AVERAGE(C58:G58)-1),"N/A",G58/AVERAGE(C58:G58)-1)))</f>
        <v>-0.20553065449982588</v>
      </c>
      <c r="K58" s="8" t="str">
        <f>Pork!L7</f>
        <v>GTA (2021)</v>
      </c>
      <c r="L58" s="8" t="str">
        <f>Pork!M7</f>
        <v>IHS Global Trade Atlas (GTA) (2021). Unpublished trade data accessed via subscription service. Last Accessed September 2021.</v>
      </c>
    </row>
    <row r="59" spans="1:12" x14ac:dyDescent="0.3">
      <c r="A59" s="37" t="str">
        <f>Pork!B8</f>
        <v>Singapore</v>
      </c>
      <c r="B59" s="6" t="s">
        <v>46</v>
      </c>
      <c r="C59" s="32">
        <f>Pork!D8</f>
        <v>12.298526000000001</v>
      </c>
      <c r="D59" s="32">
        <f>Pork!E8</f>
        <v>11.379702999999999</v>
      </c>
      <c r="E59" s="32">
        <f>Pork!F8</f>
        <v>9.4225779999999997</v>
      </c>
      <c r="F59" s="32">
        <f>Pork!G8</f>
        <v>7.3615170000000001</v>
      </c>
      <c r="G59" s="32">
        <f>Pork!H8</f>
        <v>8.8282710000000009</v>
      </c>
      <c r="H59" s="23">
        <f t="shared" si="0"/>
        <v>0.19924616081169155</v>
      </c>
      <c r="I59" s="36">
        <f t="shared" si="1"/>
        <v>9.8581190000000003</v>
      </c>
      <c r="J59" s="23">
        <f t="shared" si="2"/>
        <v>-0.10446698807348531</v>
      </c>
      <c r="K59" s="8" t="str">
        <f>Pork!L8</f>
        <v>GTA (2021)</v>
      </c>
      <c r="L59" s="8" t="str">
        <f>Pork!M8</f>
        <v>IHS Global Trade Atlas (GTA) (2021). Unpublished trade data accessed via subscription service. Last Accessed September 2021.</v>
      </c>
    </row>
    <row r="60" spans="1:12" x14ac:dyDescent="0.3">
      <c r="A60" s="37" t="str">
        <f>Pork!B9</f>
        <v>New Zealand</v>
      </c>
      <c r="B60" s="6" t="s">
        <v>46</v>
      </c>
      <c r="C60" s="32">
        <f>Pork!D9</f>
        <v>4.751341</v>
      </c>
      <c r="D60" s="32">
        <f>Pork!E9</f>
        <v>6.3201929999999997</v>
      </c>
      <c r="E60" s="32">
        <f>Pork!F9</f>
        <v>4.8186689999999999</v>
      </c>
      <c r="F60" s="32">
        <f>Pork!G9</f>
        <v>3.3838200000000001</v>
      </c>
      <c r="G60" s="32">
        <f>Pork!H9</f>
        <v>2.9607510000000001</v>
      </c>
      <c r="H60" s="23">
        <f t="shared" si="0"/>
        <v>-0.12502704044541368</v>
      </c>
      <c r="I60" s="36">
        <f t="shared" si="1"/>
        <v>4.4469548000000003</v>
      </c>
      <c r="J60" s="23">
        <f t="shared" si="2"/>
        <v>-0.33420708481228545</v>
      </c>
      <c r="K60" s="8" t="str">
        <f>Pork!L9</f>
        <v>GTA (2021)</v>
      </c>
      <c r="L60" s="8" t="str">
        <f>Pork!M9</f>
        <v>IHS Global Trade Atlas (GTA) (2021). Unpublished trade data accessed via subscription service. Last Accessed September 2021.</v>
      </c>
    </row>
    <row r="61" spans="1:12" x14ac:dyDescent="0.3">
      <c r="A61" s="37" t="str">
        <f>Pork!B10</f>
        <v>Papua New Guinea</v>
      </c>
      <c r="B61" s="6" t="s">
        <v>46</v>
      </c>
      <c r="C61" s="32">
        <f>Pork!D10</f>
        <v>2.8119320000000001</v>
      </c>
      <c r="D61" s="32">
        <f>Pork!E10</f>
        <v>4.356617</v>
      </c>
      <c r="E61" s="32">
        <f>Pork!F10</f>
        <v>3.2919200000000002</v>
      </c>
      <c r="F61" s="32">
        <f>Pork!G10</f>
        <v>2.5847889999999998</v>
      </c>
      <c r="G61" s="32">
        <f>Pork!H10</f>
        <v>1.070611</v>
      </c>
      <c r="H61" s="23">
        <f t="shared" si="0"/>
        <v>-0.58580332862759787</v>
      </c>
      <c r="I61" s="36">
        <f t="shared" si="1"/>
        <v>2.8231738000000002</v>
      </c>
      <c r="J61" s="23">
        <f t="shared" si="2"/>
        <v>-0.62077750934072862</v>
      </c>
      <c r="K61" s="8" t="str">
        <f>Pork!L10</f>
        <v>GTA (2021)</v>
      </c>
      <c r="L61" s="8" t="str">
        <f>Pork!M10</f>
        <v>IHS Global Trade Atlas (GTA) (2021). Unpublished trade data accessed via subscription service. Last Accessed September 2021.</v>
      </c>
    </row>
    <row r="62" spans="1:12" x14ac:dyDescent="0.3">
      <c r="A62" s="22" t="s">
        <v>23</v>
      </c>
      <c r="B62" s="6" t="s">
        <v>46</v>
      </c>
      <c r="C62" s="32">
        <f>Poultry!D7</f>
        <v>21.813934</v>
      </c>
      <c r="D62" s="32">
        <f>Poultry!E7</f>
        <v>22.908660999999999</v>
      </c>
      <c r="E62" s="32">
        <f>Poultry!F7</f>
        <v>22.124732000000002</v>
      </c>
      <c r="F62" s="32">
        <f>Poultry!G7</f>
        <v>24.215153999999998</v>
      </c>
      <c r="G62" s="32">
        <f>Poultry!H7</f>
        <v>12.322464</v>
      </c>
      <c r="H62" s="23">
        <f t="shared" si="0"/>
        <v>-0.49112592882952544</v>
      </c>
      <c r="I62" s="36">
        <f t="shared" si="1"/>
        <v>20.676988999999999</v>
      </c>
      <c r="J62" s="23">
        <f t="shared" si="2"/>
        <v>-0.40404940003595302</v>
      </c>
      <c r="K62" s="8" t="str">
        <f>Poultry!L7</f>
        <v>GTA (2021)</v>
      </c>
      <c r="L62" s="8" t="str">
        <f>Poultry!M7</f>
        <v>IHS Global Trade Atlas (GTA) (2021). Unpublished trade data accessed via subscription service. Last Accessed September 2021.</v>
      </c>
    </row>
    <row r="63" spans="1:12" x14ac:dyDescent="0.3">
      <c r="A63" s="37" t="str">
        <f>Poultry!B8</f>
        <v>Singapore</v>
      </c>
      <c r="B63" s="6" t="s">
        <v>46</v>
      </c>
      <c r="C63" s="32">
        <f>Poultry!D8</f>
        <v>0.14288699999999999</v>
      </c>
      <c r="D63" s="32">
        <f>Poultry!E8</f>
        <v>0.105667</v>
      </c>
      <c r="E63" s="32">
        <f>Poultry!F8</f>
        <v>0.28379799999999999</v>
      </c>
      <c r="F63" s="32">
        <f>Poultry!G8</f>
        <v>7.7887370000000002</v>
      </c>
      <c r="G63" s="32">
        <f>Poultry!H8</f>
        <v>2.0815540000000001</v>
      </c>
      <c r="H63" s="23">
        <f t="shared" si="0"/>
        <v>-0.73274819781435685</v>
      </c>
      <c r="I63" s="36">
        <f t="shared" si="1"/>
        <v>2.0805286000000001</v>
      </c>
      <c r="J63" s="23">
        <f t="shared" si="2"/>
        <v>4.9285551758337931E-4</v>
      </c>
      <c r="K63" s="8" t="str">
        <f>Poultry!L8</f>
        <v>GTA (2021)</v>
      </c>
      <c r="L63" s="8" t="str">
        <f>Poultry!M8</f>
        <v>IHS Global Trade Atlas (GTA) (2021). Unpublished trade data accessed via subscription service. Last Accessed September 2021.</v>
      </c>
    </row>
    <row r="64" spans="1:12" x14ac:dyDescent="0.3">
      <c r="A64" s="37" t="str">
        <f>Poultry!B9</f>
        <v>Philippines</v>
      </c>
      <c r="B64" s="6" t="s">
        <v>46</v>
      </c>
      <c r="C64" s="32">
        <f>Poultry!D9</f>
        <v>3.1266289999999999</v>
      </c>
      <c r="D64" s="32">
        <f>Poultry!E9</f>
        <v>1.4674339999999999</v>
      </c>
      <c r="E64" s="32">
        <f>Poultry!F9</f>
        <v>3.2997010000000002</v>
      </c>
      <c r="F64" s="32">
        <f>Poultry!G9</f>
        <v>3.084015</v>
      </c>
      <c r="G64" s="32">
        <f>Poultry!H9</f>
        <v>1.6473180000000001</v>
      </c>
      <c r="H64" s="23">
        <f t="shared" si="0"/>
        <v>-0.46585279254478329</v>
      </c>
      <c r="I64" s="36">
        <f t="shared" si="1"/>
        <v>2.5250194000000006</v>
      </c>
      <c r="J64" s="23">
        <f t="shared" si="2"/>
        <v>-0.34760184416800932</v>
      </c>
      <c r="K64" s="8" t="str">
        <f>Poultry!L9</f>
        <v>GTA (2021)</v>
      </c>
      <c r="L64" s="8" t="str">
        <f>Poultry!M9</f>
        <v>IHS Global Trade Atlas (GTA) (2021). Unpublished trade data accessed via subscription service. Last Accessed September 2021.</v>
      </c>
    </row>
    <row r="65" spans="1:12" x14ac:dyDescent="0.3">
      <c r="A65" s="37" t="str">
        <f>Poultry!B10</f>
        <v>Solomon Islands</v>
      </c>
      <c r="B65" s="6" t="s">
        <v>46</v>
      </c>
      <c r="C65" s="32">
        <f>Poultry!D10</f>
        <v>3.6707860000000001</v>
      </c>
      <c r="D65" s="32">
        <f>Poultry!E10</f>
        <v>3.0736189999999999</v>
      </c>
      <c r="E65" s="32">
        <f>Poultry!F10</f>
        <v>2.4171079999999998</v>
      </c>
      <c r="F65" s="32">
        <f>Poultry!G10</f>
        <v>1.258197</v>
      </c>
      <c r="G65" s="32">
        <f>Poultry!H10</f>
        <v>1.15402</v>
      </c>
      <c r="H65" s="23">
        <f t="shared" si="0"/>
        <v>-8.2798639640692118E-2</v>
      </c>
      <c r="I65" s="36">
        <f t="shared" si="1"/>
        <v>2.3147459999999995</v>
      </c>
      <c r="J65" s="23">
        <f t="shared" si="2"/>
        <v>-0.50144853906216913</v>
      </c>
      <c r="K65" s="8" t="str">
        <f>Poultry!L10</f>
        <v>GTA (2021)</v>
      </c>
      <c r="L65" s="8" t="str">
        <f>Poultry!M10</f>
        <v>IHS Global Trade Atlas (GTA) (2021). Unpublished trade data accessed via subscription service. Last Accessed September 2021.</v>
      </c>
    </row>
    <row r="66" spans="1:12" x14ac:dyDescent="0.3">
      <c r="A66" s="22" t="s">
        <v>24</v>
      </c>
      <c r="B66" s="6" t="s">
        <v>46</v>
      </c>
      <c r="C66" s="32">
        <f>Wool!D9</f>
        <v>673.06748300000004</v>
      </c>
      <c r="D66" s="32">
        <f>Wool!E9</f>
        <v>870.84544500000004</v>
      </c>
      <c r="E66" s="32">
        <f>Wool!F9</f>
        <v>807.47414600000002</v>
      </c>
      <c r="F66" s="32">
        <f>Wool!G9</f>
        <v>527.49161400000003</v>
      </c>
      <c r="G66" s="32">
        <f>Wool!H9</f>
        <v>466.003916</v>
      </c>
      <c r="H66" s="23">
        <f t="shared" si="0"/>
        <v>-0.1165662095246125</v>
      </c>
      <c r="I66" s="36">
        <f t="shared" si="1"/>
        <v>668.97652080000012</v>
      </c>
      <c r="J66" s="23">
        <f t="shared" si="2"/>
        <v>-0.30340766602282832</v>
      </c>
      <c r="K66" s="8" t="str">
        <f>Wool!L9</f>
        <v>GTA (2021)</v>
      </c>
      <c r="L66" s="8" t="str">
        <f>Wool!M9</f>
        <v>IHS Global Trade Atlas (GTA) (2021). Unpublished trade data accessed via subscription service. Last Accessed September 2021.</v>
      </c>
    </row>
    <row r="67" spans="1:12" x14ac:dyDescent="0.3">
      <c r="A67" s="37" t="str">
        <f>Wool!B10</f>
        <v>China</v>
      </c>
      <c r="B67" s="6" t="s">
        <v>46</v>
      </c>
      <c r="C67" s="32">
        <f>Wool!D10</f>
        <v>532.06757000000005</v>
      </c>
      <c r="D67" s="32">
        <f>Wool!E10</f>
        <v>719.50719200000003</v>
      </c>
      <c r="E67" s="32">
        <f>Wool!F10</f>
        <v>684.67072399999995</v>
      </c>
      <c r="F67" s="32">
        <f>Wool!G10</f>
        <v>435.440831</v>
      </c>
      <c r="G67" s="32">
        <f>Wool!H10</f>
        <v>421.05429800000002</v>
      </c>
      <c r="H67" s="23">
        <f t="shared" si="0"/>
        <v>-3.3039007772791895E-2</v>
      </c>
      <c r="I67" s="36">
        <f t="shared" si="1"/>
        <v>558.54812300000003</v>
      </c>
      <c r="J67" s="23">
        <f t="shared" si="2"/>
        <v>-0.24616289866218033</v>
      </c>
      <c r="K67" s="8" t="str">
        <f>Wool!L10</f>
        <v>GTA (2021)</v>
      </c>
      <c r="L67" s="8" t="str">
        <f>Wool!M10</f>
        <v>IHS Global Trade Atlas (GTA) (2021). Unpublished trade data accessed via subscription service. Last Accessed September 2021.</v>
      </c>
    </row>
    <row r="68" spans="1:12" x14ac:dyDescent="0.3">
      <c r="A68" s="37" t="str">
        <f>Wool!B11</f>
        <v>Czech Republic</v>
      </c>
      <c r="B68" s="6" t="s">
        <v>46</v>
      </c>
      <c r="C68" s="32">
        <f>Wool!D11</f>
        <v>31.031779</v>
      </c>
      <c r="D68" s="32">
        <f>Wool!E11</f>
        <v>43.616841999999998</v>
      </c>
      <c r="E68" s="32">
        <f>Wool!F11</f>
        <v>30.909317000000001</v>
      </c>
      <c r="F68" s="32">
        <f>Wool!G11</f>
        <v>19.661639000000001</v>
      </c>
      <c r="G68" s="32">
        <f>Wool!H11</f>
        <v>18.076395000000002</v>
      </c>
      <c r="H68" s="23">
        <f t="shared" si="0"/>
        <v>-8.0626238738286227E-2</v>
      </c>
      <c r="I68" s="36">
        <f t="shared" si="1"/>
        <v>28.659194399999997</v>
      </c>
      <c r="J68" s="23">
        <f t="shared" si="2"/>
        <v>-0.3692636733710839</v>
      </c>
      <c r="K68" s="8" t="str">
        <f>Wool!L11</f>
        <v>GTA (2021)</v>
      </c>
      <c r="L68" s="8" t="str">
        <f>Wool!M11</f>
        <v>IHS Global Trade Atlas (GTA) (2021). Unpublished trade data accessed via subscription service. Last Accessed September 2021.</v>
      </c>
    </row>
    <row r="69" spans="1:12" x14ac:dyDescent="0.3">
      <c r="A69" s="37" t="str">
        <f>Wool!B12</f>
        <v>Italy</v>
      </c>
      <c r="B69" s="6" t="s">
        <v>46</v>
      </c>
      <c r="C69" s="32">
        <f>Wool!D12</f>
        <v>80.188967000000005</v>
      </c>
      <c r="D69" s="32">
        <f>Wool!E12</f>
        <v>65.215986000000001</v>
      </c>
      <c r="E69" s="32">
        <f>Wool!F12</f>
        <v>45.271394999999998</v>
      </c>
      <c r="F69" s="32">
        <f>Wool!G12</f>
        <v>43.664095000000003</v>
      </c>
      <c r="G69" s="32">
        <f>Wool!H12</f>
        <v>11.937002</v>
      </c>
      <c r="H69" s="23">
        <f t="shared" si="0"/>
        <v>-0.72661744163024566</v>
      </c>
      <c r="I69" s="36">
        <f t="shared" si="1"/>
        <v>49.255489000000004</v>
      </c>
      <c r="J69" s="23">
        <f t="shared" si="2"/>
        <v>-0.75765133506237248</v>
      </c>
      <c r="K69" s="8" t="str">
        <f>Wool!L12</f>
        <v>GTA (2021)</v>
      </c>
      <c r="L69" s="8" t="str">
        <f>Wool!M12</f>
        <v>IHS Global Trade Atlas (GTA) (2021). Unpublished trade data accessed via subscription service. Last Accessed September 2021.</v>
      </c>
    </row>
    <row r="70" spans="1:12" x14ac:dyDescent="0.3">
      <c r="A70" s="22" t="s">
        <v>25</v>
      </c>
      <c r="B70" s="6" t="s">
        <v>46</v>
      </c>
      <c r="C70" s="32">
        <f>Eggs!D9</f>
        <v>3.8432759999999999</v>
      </c>
      <c r="D70" s="32">
        <f>Eggs!E9</f>
        <v>12.240022</v>
      </c>
      <c r="E70" s="32">
        <f>Eggs!F9</f>
        <v>7.8934610000000003</v>
      </c>
      <c r="F70" s="32">
        <f>Eggs!G9</f>
        <v>1.473776</v>
      </c>
      <c r="G70" s="32">
        <f>Eggs!H9</f>
        <v>0.89936799999999995</v>
      </c>
      <c r="H70" s="23">
        <f t="shared" si="0"/>
        <v>-0.38975258112494715</v>
      </c>
      <c r="I70" s="36">
        <f t="shared" si="1"/>
        <v>5.2699806000000002</v>
      </c>
      <c r="J70" s="23">
        <f t="shared" si="2"/>
        <v>-0.82934130725263011</v>
      </c>
      <c r="K70" s="8" t="str">
        <f>Eggs!L9</f>
        <v>GTA (2021)</v>
      </c>
      <c r="L70" s="8" t="str">
        <f>Eggs!M9</f>
        <v>IHS Global Trade Atlas (GTA) (2021). Unpublished trade data accessed via subscription service. Last Accessed September 2021.</v>
      </c>
    </row>
    <row r="71" spans="1:12" x14ac:dyDescent="0.3">
      <c r="A71" s="37" t="str">
        <f>Eggs!B10</f>
        <v>Singapore</v>
      </c>
      <c r="B71" s="6" t="s">
        <v>46</v>
      </c>
      <c r="C71" s="32">
        <f>Eggs!D10</f>
        <v>2.2401000000000001E-2</v>
      </c>
      <c r="D71" s="32">
        <f>Eggs!E10</f>
        <v>0.46512900000000001</v>
      </c>
      <c r="E71" s="32">
        <f>Eggs!F10</f>
        <v>0.56649300000000002</v>
      </c>
      <c r="F71" s="32">
        <f>Eggs!G10</f>
        <v>0.64385899999999996</v>
      </c>
      <c r="G71" s="32">
        <f>Eggs!H10</f>
        <v>0.45018399999999997</v>
      </c>
      <c r="H71" s="23">
        <f t="shared" si="0"/>
        <v>-0.30080343677730681</v>
      </c>
      <c r="I71" s="36">
        <f t="shared" si="1"/>
        <v>0.42961320000000003</v>
      </c>
      <c r="J71" s="23">
        <f t="shared" si="2"/>
        <v>4.7882141423959856E-2</v>
      </c>
      <c r="K71" s="8" t="str">
        <f>Eggs!L10</f>
        <v>GTA (2021)</v>
      </c>
      <c r="L71" s="8" t="str">
        <f>Eggs!M10</f>
        <v>IHS Global Trade Atlas (GTA) (2021). Unpublished trade data accessed via subscription service. Last Accessed September 2021.</v>
      </c>
    </row>
    <row r="72" spans="1:12" x14ac:dyDescent="0.3">
      <c r="A72" s="37" t="str">
        <f>Eggs!B11</f>
        <v>Hong Kong</v>
      </c>
      <c r="B72" s="6" t="s">
        <v>46</v>
      </c>
      <c r="C72" s="32">
        <f>Eggs!D11</f>
        <v>0.81409600000000004</v>
      </c>
      <c r="D72" s="32">
        <f>Eggs!E11</f>
        <v>0.14693000000000001</v>
      </c>
      <c r="E72" s="32">
        <f>Eggs!F11</f>
        <v>0.102365</v>
      </c>
      <c r="F72" s="32">
        <f>Eggs!G11</f>
        <v>6.6668000000000005E-2</v>
      </c>
      <c r="G72" s="32">
        <f>Eggs!H11</f>
        <v>0.11937300000000001</v>
      </c>
      <c r="H72" s="23">
        <f t="shared" ref="H72:H88" si="16">IF(ISBLANK(G72),"N/A",IF(ISNA(G72/F72-1),"N/A",IF(ISERROR(G72/F72-1),"N/A",G72/F72-1)))</f>
        <v>0.79055918881622356</v>
      </c>
      <c r="I72" s="36">
        <f t="shared" ref="I72:I88" si="17">IF(ISBLANK(G72),"",IF(ISNA(AVERAGE(C72:G72)),"N/A",IF(ISERROR(AVERAGE(C72:G72)),"N/A",AVERAGE(C72:G72))))</f>
        <v>0.24988639999999998</v>
      </c>
      <c r="J72" s="23">
        <f t="shared" si="2"/>
        <v>-0.52229092899813667</v>
      </c>
      <c r="K72" s="8" t="str">
        <f>Eggs!L11</f>
        <v>GTA (2021)</v>
      </c>
      <c r="L72" s="8" t="str">
        <f>Eggs!M11</f>
        <v>IHS Global Trade Atlas (GTA) (2021). Unpublished trade data accessed via subscription service. Last Accessed September 2021.</v>
      </c>
    </row>
    <row r="73" spans="1:12" x14ac:dyDescent="0.3">
      <c r="A73" s="37" t="str">
        <f>Eggs!B12</f>
        <v>Philippines</v>
      </c>
      <c r="B73" s="6" t="s">
        <v>46</v>
      </c>
      <c r="C73" s="32">
        <f>Eggs!D12</f>
        <v>1.5422400000000001</v>
      </c>
      <c r="D73" s="32">
        <f>Eggs!E12</f>
        <v>11.042329000000001</v>
      </c>
      <c r="E73" s="32">
        <f>Eggs!F12</f>
        <v>5.8645069999999997</v>
      </c>
      <c r="F73" s="32">
        <f>Eggs!G12</f>
        <v>0.50830399999999998</v>
      </c>
      <c r="G73" s="32">
        <f>Eggs!H12</f>
        <v>0</v>
      </c>
      <c r="H73" s="23">
        <f t="shared" si="16"/>
        <v>-1</v>
      </c>
      <c r="I73" s="36">
        <f t="shared" si="17"/>
        <v>3.7914759999999994</v>
      </c>
      <c r="J73" s="23">
        <f t="shared" si="2"/>
        <v>-1</v>
      </c>
      <c r="K73" s="8" t="str">
        <f>Eggs!L12</f>
        <v>GTA (2021)</v>
      </c>
      <c r="L73" s="8" t="str">
        <f>Eggs!M12</f>
        <v>IHS Global Trade Atlas (GTA) (2021). Unpublished trade data accessed via subscription service. Last Accessed September 2021.</v>
      </c>
    </row>
    <row r="74" spans="1:12" x14ac:dyDescent="0.3">
      <c r="A74" s="22" t="s">
        <v>26</v>
      </c>
      <c r="B74" s="6" t="s">
        <v>46</v>
      </c>
      <c r="C74" s="32">
        <f>Milk!D10</f>
        <v>9.6103269999999998</v>
      </c>
      <c r="D74" s="32">
        <f>Milk!E10</f>
        <v>9.5857759999999992</v>
      </c>
      <c r="E74" s="32">
        <f>Milk!F10</f>
        <v>17.791698</v>
      </c>
      <c r="F74" s="32">
        <f>Milk!G10</f>
        <v>20.727937000000001</v>
      </c>
      <c r="G74" s="32">
        <f>Milk!H10</f>
        <v>38.003014999999998</v>
      </c>
      <c r="H74" s="23">
        <f t="shared" si="16"/>
        <v>0.8334200359640227</v>
      </c>
      <c r="I74" s="36">
        <f t="shared" si="17"/>
        <v>19.143750599999997</v>
      </c>
      <c r="J74" s="23">
        <f t="shared" ref="J74:J88" si="18">IF(ISBLANK(G74),"",IF(ISNA(G74/AVERAGE(C74:G74)-1),"N/A",IF(ISERROR(G74/AVERAGE(C74:G74)-1),"N/A",G74/AVERAGE(C74:G74)-1)))</f>
        <v>0.98513947418433268</v>
      </c>
      <c r="K74" s="8" t="str">
        <f>Milk!L10</f>
        <v>GTA (2021)</v>
      </c>
      <c r="L74" s="8" t="str">
        <f>Milk!M10</f>
        <v>IHS Global Trade Atlas (GTA) (2021). Unpublished trade data accessed via subscription service. Last Accessed September 2021.</v>
      </c>
    </row>
    <row r="75" spans="1:12" x14ac:dyDescent="0.3">
      <c r="A75" s="37" t="str">
        <f>Milk!B11</f>
        <v>China</v>
      </c>
      <c r="B75" s="6" t="s">
        <v>46</v>
      </c>
      <c r="C75" s="32">
        <f>Milk!D11</f>
        <v>2.1540240000000002</v>
      </c>
      <c r="D75" s="32">
        <f>Milk!E11</f>
        <v>3.9554179999999999</v>
      </c>
      <c r="E75" s="32">
        <f>Milk!F11</f>
        <v>11.632845</v>
      </c>
      <c r="F75" s="32">
        <f>Milk!G11</f>
        <v>11.938378</v>
      </c>
      <c r="G75" s="32">
        <f>Milk!H11</f>
        <v>32.013775000000003</v>
      </c>
      <c r="H75" s="23">
        <f t="shared" si="16"/>
        <v>1.6815849690803897</v>
      </c>
      <c r="I75" s="36">
        <f t="shared" si="17"/>
        <v>12.338888000000001</v>
      </c>
      <c r="J75" s="23">
        <f t="shared" si="18"/>
        <v>1.5945429604353327</v>
      </c>
      <c r="K75" s="8" t="str">
        <f>Milk!L11</f>
        <v>GTA (2021)</v>
      </c>
      <c r="L75" s="8" t="str">
        <f>Milk!M11</f>
        <v>IHS Global Trade Atlas (GTA) (2021). Unpublished trade data accessed via subscription service. Last Accessed September 2021.</v>
      </c>
    </row>
    <row r="76" spans="1:12" x14ac:dyDescent="0.3">
      <c r="A76" s="37" t="str">
        <f>Milk!B12</f>
        <v>Hong Kong</v>
      </c>
      <c r="B76" s="6" t="s">
        <v>46</v>
      </c>
      <c r="C76" s="32">
        <f>Milk!D12</f>
        <v>1.142164</v>
      </c>
      <c r="D76" s="32">
        <f>Milk!E12</f>
        <v>1.8655349999999999</v>
      </c>
      <c r="E76" s="32">
        <f>Milk!F12</f>
        <v>1.7445029999999999</v>
      </c>
      <c r="F76" s="32">
        <f>Milk!G12</f>
        <v>3.6486930000000002</v>
      </c>
      <c r="G76" s="32">
        <f>Milk!H12</f>
        <v>2.9146969999999999</v>
      </c>
      <c r="H76" s="23">
        <f t="shared" si="16"/>
        <v>-0.20116682877951098</v>
      </c>
      <c r="I76" s="36">
        <f t="shared" si="17"/>
        <v>2.2631184000000002</v>
      </c>
      <c r="J76" s="23">
        <f t="shared" si="18"/>
        <v>0.28791184765233657</v>
      </c>
      <c r="K76" s="8" t="str">
        <f>Milk!L12</f>
        <v>GTA (2021)</v>
      </c>
      <c r="L76" s="8" t="str">
        <f>Milk!M12</f>
        <v>IHS Global Trade Atlas (GTA) (2021). Unpublished trade data accessed via subscription service. Last Accessed September 2021.</v>
      </c>
    </row>
    <row r="77" spans="1:12" x14ac:dyDescent="0.3">
      <c r="A77" s="37" t="str">
        <f>Milk!B13</f>
        <v>Singapore</v>
      </c>
      <c r="B77" s="6" t="s">
        <v>46</v>
      </c>
      <c r="C77" s="32">
        <f>Milk!D13</f>
        <v>4.7397130000000001</v>
      </c>
      <c r="D77" s="32">
        <f>Milk!E13</f>
        <v>2.7436470000000002</v>
      </c>
      <c r="E77" s="32">
        <f>Milk!F13</f>
        <v>2.7993000000000001</v>
      </c>
      <c r="F77" s="32">
        <f>Milk!G13</f>
        <v>2.569426</v>
      </c>
      <c r="G77" s="32">
        <f>Milk!H13</f>
        <v>1.5370470000000001</v>
      </c>
      <c r="H77" s="23">
        <f t="shared" si="16"/>
        <v>-0.40179363017265335</v>
      </c>
      <c r="I77" s="36">
        <f t="shared" si="17"/>
        <v>2.8778265999999997</v>
      </c>
      <c r="J77" s="23">
        <f t="shared" si="18"/>
        <v>-0.46590006500044157</v>
      </c>
      <c r="K77" s="8" t="str">
        <f>Milk!L13</f>
        <v>GTA (2021)</v>
      </c>
      <c r="L77" s="8" t="str">
        <f>Milk!M13</f>
        <v>IHS Global Trade Atlas (GTA) (2021). Unpublished trade data accessed via subscription service. Last Accessed September 2021.</v>
      </c>
    </row>
    <row r="78" spans="1:12" x14ac:dyDescent="0.3">
      <c r="A78" s="9" t="s">
        <v>337</v>
      </c>
      <c r="B78" s="9" t="s">
        <v>46</v>
      </c>
      <c r="C78" s="33">
        <f>SUM(C79,C83)</f>
        <v>160.84868299999999</v>
      </c>
      <c r="D78" s="33">
        <f t="shared" ref="D78:G78" si="19">SUM(D79,D83)</f>
        <v>168.00153300000002</v>
      </c>
      <c r="E78" s="33">
        <f t="shared" si="19"/>
        <v>190.16223400000001</v>
      </c>
      <c r="F78" s="33">
        <f t="shared" si="19"/>
        <v>203.18604300000001</v>
      </c>
      <c r="G78" s="33">
        <f t="shared" si="19"/>
        <v>143.57211000000001</v>
      </c>
      <c r="H78" s="21">
        <f t="shared" si="16"/>
        <v>-0.29339580671887</v>
      </c>
      <c r="I78" s="31">
        <f t="shared" si="17"/>
        <v>173.15412060000003</v>
      </c>
      <c r="J78" s="21">
        <f t="shared" si="18"/>
        <v>-0.1708420827497189</v>
      </c>
      <c r="K78" s="25"/>
      <c r="L78" s="25"/>
    </row>
    <row r="79" spans="1:12" x14ac:dyDescent="0.3">
      <c r="A79" s="22" t="s">
        <v>27</v>
      </c>
      <c r="B79" s="6" t="s">
        <v>46</v>
      </c>
      <c r="C79" s="32">
        <f>Forestry!D12</f>
        <v>138.33978400000001</v>
      </c>
      <c r="D79" s="32">
        <f>Forestry!E12</f>
        <v>146.92478600000001</v>
      </c>
      <c r="E79" s="32">
        <f>Forestry!F12</f>
        <v>166.03516500000001</v>
      </c>
      <c r="F79" s="32">
        <f>Forestry!G12</f>
        <v>181.38229200000001</v>
      </c>
      <c r="G79" s="32">
        <f>Forestry!H12</f>
        <v>114.640514</v>
      </c>
      <c r="H79" s="23">
        <f t="shared" si="16"/>
        <v>-0.36796192872014211</v>
      </c>
      <c r="I79" s="36">
        <f t="shared" si="17"/>
        <v>149.46450820000001</v>
      </c>
      <c r="J79" s="23">
        <f t="shared" si="18"/>
        <v>-0.23299172906922938</v>
      </c>
      <c r="K79" s="8" t="str">
        <f>Forestry!L12</f>
        <v>GTA (2021)</v>
      </c>
      <c r="L79" s="8" t="str">
        <f>Forestry!M12</f>
        <v>IHS Global Trade Atlas (GTA) (2021). Unpublished trade data accessed via subscription service. Last Accessed September 2021.</v>
      </c>
    </row>
    <row r="80" spans="1:12" x14ac:dyDescent="0.3">
      <c r="A80" s="37" t="str">
        <f>Forestry!B13</f>
        <v>China</v>
      </c>
      <c r="B80" s="6" t="s">
        <v>46</v>
      </c>
      <c r="C80" s="32">
        <f>Forestry!D13</f>
        <v>110.707849</v>
      </c>
      <c r="D80" s="32">
        <f>Forestry!E13</f>
        <v>127.26960099999999</v>
      </c>
      <c r="E80" s="32">
        <f>Forestry!F13</f>
        <v>141.06328500000001</v>
      </c>
      <c r="F80" s="32">
        <f>Forestry!G13</f>
        <v>157.328801</v>
      </c>
      <c r="G80" s="32">
        <f>Forestry!H13</f>
        <v>74.473309</v>
      </c>
      <c r="H80" s="23">
        <f t="shared" si="16"/>
        <v>-0.52663906082904677</v>
      </c>
      <c r="I80" s="36">
        <f t="shared" si="17"/>
        <v>122.16856899999998</v>
      </c>
      <c r="J80" s="23">
        <f t="shared" si="18"/>
        <v>-0.39040532593944022</v>
      </c>
      <c r="K80" s="8" t="str">
        <f>Forestry!L13</f>
        <v>GTA (2021)</v>
      </c>
      <c r="L80" s="8" t="str">
        <f>Forestry!M13</f>
        <v>IHS Global Trade Atlas (GTA) (2021). Unpublished trade data accessed via subscription service. Last Accessed September 2021.</v>
      </c>
    </row>
    <row r="81" spans="1:12" x14ac:dyDescent="0.3">
      <c r="A81" s="37" t="str">
        <f>Forestry!B14</f>
        <v>Korea, South</v>
      </c>
      <c r="B81" s="6" t="s">
        <v>46</v>
      </c>
      <c r="C81" s="32">
        <f>Forestry!D14</f>
        <v>2.9344760000000001</v>
      </c>
      <c r="D81" s="32">
        <f>Forestry!E14</f>
        <v>2.2298939999999998</v>
      </c>
      <c r="E81" s="32">
        <f>Forestry!F14</f>
        <v>4.9500849999999996</v>
      </c>
      <c r="F81" s="32">
        <f>Forestry!G14</f>
        <v>5.4842500000000003</v>
      </c>
      <c r="G81" s="32">
        <f>Forestry!H14</f>
        <v>14.915404000000001</v>
      </c>
      <c r="H81" s="23">
        <f t="shared" si="16"/>
        <v>1.7196798103660482</v>
      </c>
      <c r="I81" s="36">
        <f t="shared" si="17"/>
        <v>6.1028217999999992</v>
      </c>
      <c r="J81" s="23">
        <f t="shared" si="18"/>
        <v>1.444017618210645</v>
      </c>
      <c r="K81" s="8" t="str">
        <f>Forestry!L14</f>
        <v>GTA (2021)</v>
      </c>
      <c r="L81" s="8" t="str">
        <f>Forestry!M14</f>
        <v>IHS Global Trade Atlas (GTA) (2021). Unpublished trade data accessed via subscription service. Last Accessed September 2021.</v>
      </c>
    </row>
    <row r="82" spans="1:12" x14ac:dyDescent="0.3">
      <c r="A82" s="37" t="str">
        <f>Forestry!B15</f>
        <v>Taiwan</v>
      </c>
      <c r="B82" s="6" t="s">
        <v>46</v>
      </c>
      <c r="C82" s="32">
        <f>Forestry!D15</f>
        <v>15.720196</v>
      </c>
      <c r="D82" s="32">
        <f>Forestry!E15</f>
        <v>8.181203</v>
      </c>
      <c r="E82" s="32">
        <f>Forestry!F15</f>
        <v>8.3387419999999999</v>
      </c>
      <c r="F82" s="32">
        <f>Forestry!G15</f>
        <v>9.3894090000000006</v>
      </c>
      <c r="G82" s="32">
        <f>Forestry!H15</f>
        <v>5.633222</v>
      </c>
      <c r="H82" s="23">
        <f t="shared" si="16"/>
        <v>-0.40004509335997618</v>
      </c>
      <c r="I82" s="36">
        <f t="shared" si="17"/>
        <v>9.4525544000000004</v>
      </c>
      <c r="J82" s="23">
        <f t="shared" si="18"/>
        <v>-0.40405294044115736</v>
      </c>
      <c r="K82" s="8" t="str">
        <f>Forestry!L15</f>
        <v>GTA (2021)</v>
      </c>
      <c r="L82" s="8" t="str">
        <f>Forestry!M15</f>
        <v>IHS Global Trade Atlas (GTA) (2021). Unpublished trade data accessed via subscription service. Last Accessed September 2021.</v>
      </c>
    </row>
    <row r="83" spans="1:12" x14ac:dyDescent="0.3">
      <c r="A83" s="22" t="s">
        <v>28</v>
      </c>
      <c r="B83" s="6" t="s">
        <v>46</v>
      </c>
      <c r="C83" s="32">
        <f>Fisheries!D10</f>
        <v>22.508899</v>
      </c>
      <c r="D83" s="32">
        <f>Fisheries!E10</f>
        <v>21.076747000000001</v>
      </c>
      <c r="E83" s="32">
        <f>Fisheries!F10</f>
        <v>24.127068999999999</v>
      </c>
      <c r="F83" s="32">
        <f>Fisheries!G10</f>
        <v>21.803750999999998</v>
      </c>
      <c r="G83" s="32">
        <f>Fisheries!H10</f>
        <v>28.931595999999999</v>
      </c>
      <c r="H83" s="23">
        <f t="shared" si="16"/>
        <v>0.32690911761008468</v>
      </c>
      <c r="I83" s="36">
        <f t="shared" si="17"/>
        <v>23.689612400000001</v>
      </c>
      <c r="J83" s="23">
        <f t="shared" si="18"/>
        <v>0.2212777276170208</v>
      </c>
      <c r="K83" s="8" t="str">
        <f>Fisheries!L10</f>
        <v>GTA (2021)</v>
      </c>
      <c r="L83" s="8" t="str">
        <f>Fisheries!M10</f>
        <v>IHS Global Trade Atlas (GTA) (2021). Unpublished trade data accessed via subscription service. Last Accessed September 2021.</v>
      </c>
    </row>
    <row r="84" spans="1:12" x14ac:dyDescent="0.3">
      <c r="A84" s="37" t="str">
        <f>Fisheries!B11</f>
        <v>Japan</v>
      </c>
      <c r="B84" s="6" t="s">
        <v>46</v>
      </c>
      <c r="C84" s="32">
        <f>Fisheries!D11</f>
        <v>11.347802</v>
      </c>
      <c r="D84" s="32">
        <f>Fisheries!E11</f>
        <v>9.8434059999999999</v>
      </c>
      <c r="E84" s="32">
        <f>Fisheries!F11</f>
        <v>11.376431999999999</v>
      </c>
      <c r="F84" s="32">
        <f>Fisheries!G11</f>
        <v>9.4810359999999996</v>
      </c>
      <c r="G84" s="32">
        <f>Fisheries!H11</f>
        <v>9.9273500000000006</v>
      </c>
      <c r="H84" s="23">
        <f t="shared" si="16"/>
        <v>4.7074391448360897E-2</v>
      </c>
      <c r="I84" s="36">
        <f t="shared" si="17"/>
        <v>10.395205200000001</v>
      </c>
      <c r="J84" s="23">
        <f t="shared" si="18"/>
        <v>-4.5006826801264221E-2</v>
      </c>
      <c r="K84" s="8" t="str">
        <f>Fisheries!L11</f>
        <v>GTA (2021)</v>
      </c>
      <c r="L84" s="8" t="str">
        <f>Fisheries!M11</f>
        <v>IHS Global Trade Atlas (GTA) (2021). Unpublished trade data accessed via subscription service. Last Accessed September 2021.</v>
      </c>
    </row>
    <row r="85" spans="1:12" x14ac:dyDescent="0.3">
      <c r="A85" s="37" t="str">
        <f>Fisheries!B12</f>
        <v>United States</v>
      </c>
      <c r="B85" s="6" t="s">
        <v>46</v>
      </c>
      <c r="C85" s="32">
        <f>Fisheries!D12</f>
        <v>0.90113100000000002</v>
      </c>
      <c r="D85" s="32">
        <f>Fisheries!E12</f>
        <v>1.3497699999999999</v>
      </c>
      <c r="E85" s="32">
        <f>Fisheries!F12</f>
        <v>2.2187269999999999</v>
      </c>
      <c r="F85" s="32">
        <f>Fisheries!G12</f>
        <v>3.1938059999999999</v>
      </c>
      <c r="G85" s="32">
        <f>Fisheries!H12</f>
        <v>5.8365840000000002</v>
      </c>
      <c r="H85" s="23">
        <f t="shared" si="16"/>
        <v>0.82746979622431671</v>
      </c>
      <c r="I85" s="36">
        <f t="shared" si="17"/>
        <v>2.7000036000000001</v>
      </c>
      <c r="J85" s="23">
        <f t="shared" si="18"/>
        <v>1.1616948955179169</v>
      </c>
      <c r="K85" s="8" t="str">
        <f>Fisheries!L12</f>
        <v>GTA (2021)</v>
      </c>
      <c r="L85" s="8" t="str">
        <f>Fisheries!M12</f>
        <v>IHS Global Trade Atlas (GTA) (2021). Unpublished trade data accessed via subscription service. Last Accessed September 2021.</v>
      </c>
    </row>
    <row r="86" spans="1:12" x14ac:dyDescent="0.3">
      <c r="A86" s="37" t="str">
        <f>Fisheries!B13</f>
        <v>China</v>
      </c>
      <c r="B86" s="6" t="s">
        <v>46</v>
      </c>
      <c r="C86" s="32">
        <f>Fisheries!D13</f>
        <v>0.19317599999999999</v>
      </c>
      <c r="D86" s="32">
        <f>Fisheries!E13</f>
        <v>2.9773550000000002</v>
      </c>
      <c r="E86" s="32">
        <f>Fisheries!F13</f>
        <v>5.1721979999999999</v>
      </c>
      <c r="F86" s="32">
        <f>Fisheries!G13</f>
        <v>5.6472160000000002</v>
      </c>
      <c r="G86" s="32">
        <f>Fisheries!H13</f>
        <v>5.5677510000000003</v>
      </c>
      <c r="H86" s="23">
        <f t="shared" si="16"/>
        <v>-1.4071535425597248E-2</v>
      </c>
      <c r="I86" s="36">
        <f t="shared" si="17"/>
        <v>3.9115392</v>
      </c>
      <c r="J86" s="23">
        <f t="shared" si="18"/>
        <v>0.42341689941391869</v>
      </c>
      <c r="K86" s="8" t="str">
        <f>Fisheries!L13</f>
        <v>GTA (2021)</v>
      </c>
      <c r="L86" s="8" t="str">
        <f>Fisheries!M13</f>
        <v>IHS Global Trade Atlas (GTA) (2021). Unpublished trade data accessed via subscription service. Last Accessed September 2021.</v>
      </c>
    </row>
    <row r="87" spans="1:12" x14ac:dyDescent="0.3">
      <c r="A87" s="9" t="s">
        <v>338</v>
      </c>
      <c r="B87" s="9" t="s">
        <v>46</v>
      </c>
      <c r="C87" s="33">
        <f>+C88-SUM(C3,C35,C45,C78)</f>
        <v>4.6008999999685329E-2</v>
      </c>
      <c r="D87" s="34">
        <f>+D88-SUM(D3,D35,D45,D78)</f>
        <v>-1.6409999999268621E-2</v>
      </c>
      <c r="E87" s="33">
        <f>+E88-SUM(E3,E35,E45,E78)</f>
        <v>7.6300000000628643E-3</v>
      </c>
      <c r="F87" s="34">
        <f>+F88-SUM(F3,F35,F45,F78)</f>
        <v>-1.0189999993599486E-3</v>
      </c>
      <c r="G87" s="33">
        <f>+G88-SUM(G3,G35,G45,G78)</f>
        <v>2.2968000000219035E-2</v>
      </c>
      <c r="H87" s="21">
        <f t="shared" si="16"/>
        <v>-23.539744862262641</v>
      </c>
      <c r="I87" s="31">
        <f t="shared" si="17"/>
        <v>1.1835600000267732E-2</v>
      </c>
      <c r="J87" s="21">
        <f t="shared" si="18"/>
        <v>0.94058602856631501</v>
      </c>
      <c r="K87" s="25"/>
      <c r="L87" s="25"/>
    </row>
    <row r="88" spans="1:12" x14ac:dyDescent="0.3">
      <c r="A88" s="15" t="s">
        <v>339</v>
      </c>
      <c r="B88" s="9" t="s">
        <v>46</v>
      </c>
      <c r="C88" s="33">
        <v>6451.6</v>
      </c>
      <c r="D88" s="33">
        <v>5650.3</v>
      </c>
      <c r="E88" s="33">
        <v>6390.8</v>
      </c>
      <c r="F88" s="33">
        <v>5674.1</v>
      </c>
      <c r="G88" s="33">
        <v>6645.3</v>
      </c>
      <c r="H88" s="21">
        <f t="shared" si="16"/>
        <v>0.17116370878200948</v>
      </c>
      <c r="I88" s="31">
        <f t="shared" si="17"/>
        <v>6162.42</v>
      </c>
      <c r="J88" s="21">
        <f t="shared" si="18"/>
        <v>7.8358826564888462E-2</v>
      </c>
      <c r="K88" s="11"/>
      <c r="L88" s="11"/>
    </row>
    <row r="89" spans="1:12" x14ac:dyDescent="0.3">
      <c r="A89" s="26" t="s">
        <v>266</v>
      </c>
      <c r="B89" s="27"/>
      <c r="C89" s="27"/>
      <c r="D89" s="27"/>
      <c r="E89" s="27"/>
      <c r="F89" s="27"/>
      <c r="G89" s="27"/>
      <c r="H89" s="28"/>
      <c r="I89" s="28"/>
      <c r="J89" s="28"/>
      <c r="K89" s="13"/>
      <c r="L89" s="13"/>
    </row>
    <row r="90" spans="1:12" x14ac:dyDescent="0.3">
      <c r="A90" s="13" t="s">
        <v>340</v>
      </c>
      <c r="B90" s="13"/>
      <c r="C90" s="13"/>
      <c r="D90" s="13"/>
      <c r="E90" s="13"/>
      <c r="F90" s="13"/>
      <c r="G90" s="13"/>
      <c r="H90" s="29"/>
      <c r="I90" s="29"/>
      <c r="J90" s="29"/>
      <c r="K90" s="13"/>
      <c r="L90" s="13"/>
    </row>
    <row r="91" spans="1:12" x14ac:dyDescent="0.3">
      <c r="A91" s="13" t="s">
        <v>341</v>
      </c>
      <c r="B91" s="13"/>
      <c r="C91" s="13"/>
      <c r="D91" s="13"/>
      <c r="E91" s="13"/>
      <c r="F91" s="13"/>
      <c r="G91" s="13"/>
      <c r="H91" s="29"/>
      <c r="I91" s="29"/>
      <c r="J91" s="29"/>
      <c r="K91" s="13"/>
      <c r="L91" s="13"/>
    </row>
    <row r="92" spans="1:12" x14ac:dyDescent="0.3">
      <c r="A92" s="138" t="s">
        <v>342</v>
      </c>
      <c r="B92" s="13"/>
      <c r="C92" s="13"/>
      <c r="D92" s="13"/>
      <c r="E92" s="13"/>
      <c r="F92" s="13"/>
      <c r="G92" s="13"/>
      <c r="H92" s="29"/>
      <c r="I92" s="29"/>
      <c r="J92" s="29"/>
      <c r="K92" s="13"/>
      <c r="L92" s="13"/>
    </row>
    <row r="93" spans="1:12" x14ac:dyDescent="0.3">
      <c r="A93" s="13" t="s">
        <v>292</v>
      </c>
      <c r="B93" s="13"/>
      <c r="C93" s="13"/>
      <c r="D93" s="13"/>
      <c r="E93" s="13"/>
      <c r="F93" s="13"/>
      <c r="G93" s="13"/>
      <c r="H93" s="29"/>
      <c r="I93" s="29"/>
      <c r="J93" s="29"/>
      <c r="K93" s="13"/>
      <c r="L93" s="13"/>
    </row>
  </sheetData>
  <conditionalFormatting sqref="H88:L88 B27:E27 B15:G15 A16:G26 A3:G14 A28:E88 C27:G87 F3:L86">
    <cfRule type="expression" dxfId="39" priority="9">
      <formula>MOD(ROW(),2)=0</formula>
    </cfRule>
  </conditionalFormatting>
  <conditionalFormatting sqref="K87:L87">
    <cfRule type="expression" dxfId="38" priority="8">
      <formula>MOD(ROW(),2)=0</formula>
    </cfRule>
  </conditionalFormatting>
  <conditionalFormatting sqref="H87:J87">
    <cfRule type="expression" dxfId="37" priority="7">
      <formula>MOD(ROW(),2)=0</formula>
    </cfRule>
  </conditionalFormatting>
  <conditionalFormatting sqref="F87:G87">
    <cfRule type="expression" dxfId="36" priority="5">
      <formula>MOD(ROW(),2)=0</formula>
    </cfRule>
  </conditionalFormatting>
  <conditionalFormatting sqref="A27">
    <cfRule type="expression" dxfId="35" priority="4">
      <formula>MOD(ROW(),2)=0</formula>
    </cfRule>
  </conditionalFormatting>
  <conditionalFormatting sqref="A15">
    <cfRule type="expression" dxfId="34" priority="3">
      <formula>MOD(ROW(),2)=0</formula>
    </cfRule>
  </conditionalFormatting>
  <conditionalFormatting sqref="F88">
    <cfRule type="expression" dxfId="33" priority="2">
      <formula>MOD(ROW(),2)=0</formula>
    </cfRule>
  </conditionalFormatting>
  <conditionalFormatting sqref="G88">
    <cfRule type="expression" dxfId="32" priority="1">
      <formula>MOD(ROW(),2)=0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9AF0-0734-416E-9292-50153B09BD29}">
  <dimension ref="A1:L66"/>
  <sheetViews>
    <sheetView workbookViewId="0"/>
  </sheetViews>
  <sheetFormatPr defaultRowHeight="14.4" x14ac:dyDescent="0.3"/>
  <cols>
    <col min="1" max="1" width="36.6640625" customWidth="1"/>
    <col min="3" max="6" width="9.6640625" bestFit="1" customWidth="1"/>
    <col min="7" max="7" width="10.33203125" bestFit="1" customWidth="1"/>
    <col min="9" max="9" width="9.6640625" bestFit="1" customWidth="1"/>
    <col min="11" max="11" width="24" bestFit="1" customWidth="1"/>
  </cols>
  <sheetData>
    <row r="1" spans="1:12" x14ac:dyDescent="0.3">
      <c r="A1" s="13"/>
      <c r="B1" s="13"/>
      <c r="C1" s="13"/>
      <c r="D1" s="13"/>
      <c r="E1" s="13"/>
      <c r="F1" s="13"/>
      <c r="G1" s="13"/>
      <c r="H1" s="13"/>
      <c r="I1" s="13"/>
      <c r="J1" s="13"/>
      <c r="K1" s="13"/>
      <c r="L1" s="13"/>
    </row>
    <row r="2" spans="1:12" ht="46.8" x14ac:dyDescent="0.3">
      <c r="A2" s="5" t="s">
        <v>343</v>
      </c>
      <c r="B2" s="5" t="s">
        <v>38</v>
      </c>
      <c r="C2" s="5" t="str">
        <f>+'Gross Value of Production'!C1</f>
        <v>2016-17</v>
      </c>
      <c r="D2" s="5" t="str">
        <f>+'Gross Value of Production'!D1</f>
        <v>2017-18</v>
      </c>
      <c r="E2" s="5" t="str">
        <f>+'Gross Value of Production'!E1</f>
        <v>2018-19</v>
      </c>
      <c r="F2" s="5" t="str">
        <f>+'Gross Value of Production'!F1</f>
        <v>2019-20</v>
      </c>
      <c r="G2" s="5" t="str">
        <f>+'Gross Value of Production'!G1</f>
        <v>2020-21[e]</v>
      </c>
      <c r="H2" s="19" t="s">
        <v>40</v>
      </c>
      <c r="I2" s="19" t="s">
        <v>139</v>
      </c>
      <c r="J2" s="19" t="s">
        <v>42</v>
      </c>
      <c r="K2" s="9" t="s">
        <v>43</v>
      </c>
      <c r="L2" s="9" t="s">
        <v>44</v>
      </c>
    </row>
    <row r="3" spans="1:12" x14ac:dyDescent="0.3">
      <c r="A3" s="9" t="s">
        <v>243</v>
      </c>
      <c r="B3" s="9" t="s">
        <v>46</v>
      </c>
      <c r="C3" s="30">
        <f t="shared" ref="C3:G3" si="0">SUM(C4,C5,C6,C7,C8,C9,C10,C11)</f>
        <v>109.98646076</v>
      </c>
      <c r="D3" s="30">
        <f t="shared" si="0"/>
        <v>115.3609003</v>
      </c>
      <c r="E3" s="35">
        <f t="shared" si="0"/>
        <v>174.75385468000002</v>
      </c>
      <c r="F3" s="35">
        <f t="shared" si="0"/>
        <v>394.55871948999999</v>
      </c>
      <c r="G3" s="35">
        <f t="shared" si="0"/>
        <v>216.11130686999999</v>
      </c>
      <c r="H3" s="21">
        <v>-0.45</v>
      </c>
      <c r="I3" s="31">
        <v>202.2</v>
      </c>
      <c r="J3" s="21">
        <v>7.0000000000000007E-2</v>
      </c>
      <c r="K3" s="11"/>
      <c r="L3" s="11"/>
    </row>
    <row r="4" spans="1:12" x14ac:dyDescent="0.3">
      <c r="A4" s="22" t="s">
        <v>9</v>
      </c>
      <c r="B4" s="6" t="s">
        <v>46</v>
      </c>
      <c r="C4" s="32">
        <f>+Wheat!D12</f>
        <v>0.16347648000000001</v>
      </c>
      <c r="D4" s="32">
        <f>+Wheat!E12</f>
        <v>0.40795054000000003</v>
      </c>
      <c r="E4" s="32">
        <f>+Wheat!F12</f>
        <v>42.700044290000001</v>
      </c>
      <c r="F4" s="32">
        <f>+Wheat!G12</f>
        <v>209.45143615999999</v>
      </c>
      <c r="G4" s="32">
        <f>+Wheat!H12</f>
        <v>81.377630409999995</v>
      </c>
      <c r="H4" s="23">
        <v>-0.61</v>
      </c>
      <c r="I4" s="36">
        <v>66.8</v>
      </c>
      <c r="J4" s="23">
        <v>0.22</v>
      </c>
      <c r="K4" s="8" t="str">
        <f>+Wheat!L12</f>
        <v>GTA (2021)</v>
      </c>
      <c r="L4" s="8" t="str">
        <f>+Wheat!M12</f>
        <v>IHS Global Trade Atlas (GTA) (2021). Unpublished trade data accessed via subscription service. Last Accessed September 2021.</v>
      </c>
    </row>
    <row r="5" spans="1:12" x14ac:dyDescent="0.3">
      <c r="A5" s="22" t="s">
        <v>332</v>
      </c>
      <c r="B5" s="6" t="s">
        <v>46</v>
      </c>
      <c r="C5" s="32">
        <f>Barley!D12</f>
        <v>0.19699123999999998</v>
      </c>
      <c r="D5" s="32">
        <f>Barley!E12</f>
        <v>0.14982400000000001</v>
      </c>
      <c r="E5" s="32">
        <f>Barley!F12</f>
        <v>0.13936525</v>
      </c>
      <c r="F5" s="32">
        <f>Barley!G12</f>
        <v>0.12676381</v>
      </c>
      <c r="G5" s="32">
        <f>Barley!H12</f>
        <v>7.9234540000000006E-2</v>
      </c>
      <c r="H5" s="23">
        <v>-0.37</v>
      </c>
      <c r="I5" s="36">
        <v>0.1</v>
      </c>
      <c r="J5" s="23">
        <v>-0.43</v>
      </c>
      <c r="K5" s="8" t="str">
        <f>Barley!L12</f>
        <v>GTA (2021)</v>
      </c>
      <c r="L5" s="8" t="str">
        <f>Barley!M12</f>
        <v>IHS Global Trade Atlas (GTA) (2021). Unpublished trade data accessed via subscription service. Last Accessed September 2021.</v>
      </c>
    </row>
    <row r="6" spans="1:12" x14ac:dyDescent="0.3">
      <c r="A6" s="22" t="s">
        <v>11</v>
      </c>
      <c r="B6" s="6" t="s">
        <v>46</v>
      </c>
      <c r="C6" s="32">
        <f>Rice!D11</f>
        <v>76.235851909999994</v>
      </c>
      <c r="D6" s="32">
        <f>Rice!E11</f>
        <v>79.390460619999999</v>
      </c>
      <c r="E6" s="32">
        <f>Rice!F11</f>
        <v>96.016589249999996</v>
      </c>
      <c r="F6" s="32">
        <f>Rice!G11</f>
        <v>148.43806641999998</v>
      </c>
      <c r="G6" s="32">
        <f>Rice!H11</f>
        <v>103.98743898000001</v>
      </c>
      <c r="H6" s="23">
        <v>-0.3</v>
      </c>
      <c r="I6" s="36">
        <v>100.8</v>
      </c>
      <c r="J6" s="23">
        <v>0.03</v>
      </c>
      <c r="K6" s="8" t="str">
        <f>Rice!L11</f>
        <v>GTA (2021)</v>
      </c>
      <c r="L6" s="8" t="str">
        <f>Rice!M11</f>
        <v>IHS Global Trade Atlas (GTA) (2021). Unpublished trade data accessed via subscription service. Last Accessed September 2021.</v>
      </c>
    </row>
    <row r="7" spans="1:12" x14ac:dyDescent="0.3">
      <c r="A7" s="22" t="s">
        <v>244</v>
      </c>
      <c r="B7" s="6" t="s">
        <v>46</v>
      </c>
      <c r="C7" s="32">
        <f>+'Coarse Grains'!D12</f>
        <v>2.2758699999999997E-3</v>
      </c>
      <c r="D7" s="32">
        <f>+'Coarse Grains'!E12</f>
        <v>0</v>
      </c>
      <c r="E7" s="32">
        <f>+'Coarse Grains'!F12</f>
        <v>0</v>
      </c>
      <c r="F7" s="32">
        <f>+'Coarse Grains'!G12</f>
        <v>1.5153900000000001E-3</v>
      </c>
      <c r="G7" s="32">
        <f>+'Coarse Grains'!H12</f>
        <v>0</v>
      </c>
      <c r="H7" s="23">
        <v>-1</v>
      </c>
      <c r="I7" s="36">
        <v>0</v>
      </c>
      <c r="J7" s="23">
        <v>-1</v>
      </c>
      <c r="K7" s="8" t="str">
        <f>+'Coarse Grains'!L12</f>
        <v>GTA (2021)</v>
      </c>
      <c r="L7" s="8" t="str">
        <f>+'Coarse Grains'!M12</f>
        <v>IHS Global Trade Atlas (GTA) (2021). Unpublished trade data accessed via subscription service. Last Accessed September 2021.</v>
      </c>
    </row>
    <row r="8" spans="1:12" x14ac:dyDescent="0.3">
      <c r="A8" s="22" t="s">
        <v>13</v>
      </c>
      <c r="B8" s="6" t="s">
        <v>46</v>
      </c>
      <c r="C8" s="32">
        <f>+Pulses!D12</f>
        <v>12.864756550000001</v>
      </c>
      <c r="D8" s="32">
        <f>+Pulses!E12</f>
        <v>16.59131056</v>
      </c>
      <c r="E8" s="32">
        <f>+Pulses!F12</f>
        <v>13.4519041</v>
      </c>
      <c r="F8" s="32">
        <f>+Pulses!G12</f>
        <v>15.87296199</v>
      </c>
      <c r="G8" s="32">
        <f>+Pulses!H12</f>
        <v>15.576629969999999</v>
      </c>
      <c r="H8" s="23">
        <v>-0.02</v>
      </c>
      <c r="I8" s="36">
        <v>14.9</v>
      </c>
      <c r="J8" s="23">
        <v>0.05</v>
      </c>
      <c r="K8" s="8" t="str">
        <f>+Pulses!L12</f>
        <v>GTA (2021)</v>
      </c>
      <c r="L8" s="8" t="str">
        <f>+Pulses!M12</f>
        <v>IHS Global Trade Atlas (GTA) (2021). Unpublished trade data accessed via subscription service. Last Accessed September 2021.</v>
      </c>
    </row>
    <row r="9" spans="1:12" x14ac:dyDescent="0.3">
      <c r="A9" s="22" t="s">
        <v>14</v>
      </c>
      <c r="B9" s="6" t="s">
        <v>46</v>
      </c>
      <c r="C9" s="32">
        <f>+Oilseeds!D13</f>
        <v>15.466135789999999</v>
      </c>
      <c r="D9" s="32">
        <f>+Oilseeds!E13</f>
        <v>13.996165210000001</v>
      </c>
      <c r="E9" s="32">
        <f>+Oilseeds!F13</f>
        <v>18.58545462</v>
      </c>
      <c r="F9" s="32">
        <f>+Oilseeds!G13</f>
        <v>16.394418980000001</v>
      </c>
      <c r="G9" s="32">
        <f>+Oilseeds!H13</f>
        <v>11.732509179999999</v>
      </c>
      <c r="H9" s="23">
        <v>-0.28000000000000003</v>
      </c>
      <c r="I9" s="36">
        <v>15.2</v>
      </c>
      <c r="J9" s="23">
        <v>-0.23</v>
      </c>
      <c r="K9" s="8" t="str">
        <f>+Oilseeds!L13</f>
        <v>GTA (2021)</v>
      </c>
      <c r="L9" s="8" t="str">
        <f>+Oilseeds!M13</f>
        <v>IHS Global Trade Atlas (GTA) (2021). Unpublished trade data accessed via subscription service. Last Accessed September 2021.</v>
      </c>
    </row>
    <row r="10" spans="1:12" x14ac:dyDescent="0.3">
      <c r="A10" s="22" t="s">
        <v>333</v>
      </c>
      <c r="B10" s="6" t="s">
        <v>46</v>
      </c>
      <c r="C10" s="32">
        <f>+'Cotton Lint'!D12</f>
        <v>8.217263000000001E-2</v>
      </c>
      <c r="D10" s="32">
        <f>+'Cotton Lint'!E12</f>
        <v>4.597275E-2</v>
      </c>
      <c r="E10" s="32">
        <f>+'Cotton Lint'!F12</f>
        <v>4.6690769999999999E-2</v>
      </c>
      <c r="F10" s="32">
        <f>+'Cotton Lint'!G12</f>
        <v>1.3557669999999999E-2</v>
      </c>
      <c r="G10" s="32">
        <f>+'Cotton Lint'!H12</f>
        <v>2.2016560000000001E-2</v>
      </c>
      <c r="H10" s="23">
        <v>0.62</v>
      </c>
      <c r="I10" s="36">
        <f t="shared" ref="I10" si="1">IF(ISBLANK(F10),"",IF(ISNA(AVERAGE(C10:F10)),"N/A",IF(ISERROR(AVERAGE(C10:F10)),"N/A",AVERAGE(C10:F10))))</f>
        <v>4.7098454999999997E-2</v>
      </c>
      <c r="J10" s="23">
        <v>-0.48</v>
      </c>
      <c r="K10" s="8" t="str">
        <f>+'Cotton Lint'!L12</f>
        <v>GTA (2021)</v>
      </c>
      <c r="L10" s="8" t="str">
        <f>+'Cotton Lint'!M12</f>
        <v>IHS Global Trade Atlas (GTA) (2021). Unpublished trade data accessed via subscription service. Last Accessed September 2021.</v>
      </c>
    </row>
    <row r="11" spans="1:12" x14ac:dyDescent="0.3">
      <c r="A11" s="22" t="s">
        <v>245</v>
      </c>
      <c r="B11" s="6" t="s">
        <v>46</v>
      </c>
      <c r="C11" s="32">
        <f>+Sugarcane!D13</f>
        <v>4.9748002899999992</v>
      </c>
      <c r="D11" s="32">
        <f>+Sugarcane!E13</f>
        <v>4.7792166199999997</v>
      </c>
      <c r="E11" s="32">
        <f>+Sugarcane!F13</f>
        <v>3.8138064000000003</v>
      </c>
      <c r="F11" s="32">
        <f>+Sugarcane!G13</f>
        <v>4.2599990700000001</v>
      </c>
      <c r="G11" s="32">
        <f>+Sugarcane!H13</f>
        <v>3.3358472300000002</v>
      </c>
      <c r="H11" s="23">
        <v>-0.22</v>
      </c>
      <c r="I11" s="36">
        <v>4.2</v>
      </c>
      <c r="J11" s="23">
        <v>-0.21</v>
      </c>
      <c r="K11" s="8" t="str">
        <f>+Sugarcane!L13</f>
        <v>GTA (2021)</v>
      </c>
      <c r="L11" s="8" t="str">
        <f>+Sugarcane!M13</f>
        <v>IHS Global Trade Atlas (GTA) (2021). Unpublished trade data accessed via subscription service. Last Accessed September 2021.</v>
      </c>
    </row>
    <row r="12" spans="1:12" x14ac:dyDescent="0.3">
      <c r="A12" s="9" t="s">
        <v>334</v>
      </c>
      <c r="B12" s="9" t="s">
        <v>46</v>
      </c>
      <c r="C12" s="33">
        <f t="shared" ref="C12:G12" si="2">SUM(C13)</f>
        <v>1046.41107848</v>
      </c>
      <c r="D12" s="33">
        <f t="shared" si="2"/>
        <v>1015.72349597</v>
      </c>
      <c r="E12" s="33">
        <f t="shared" si="2"/>
        <v>1110.1252675999999</v>
      </c>
      <c r="F12" s="33">
        <f t="shared" si="2"/>
        <v>1227.59916279</v>
      </c>
      <c r="G12" s="33">
        <f t="shared" si="2"/>
        <v>1313.2209326699999</v>
      </c>
      <c r="H12" s="21">
        <v>7.0000000000000007E-2</v>
      </c>
      <c r="I12" s="31">
        <v>1142.5999999999999</v>
      </c>
      <c r="J12" s="21">
        <v>0.15</v>
      </c>
      <c r="K12" s="25"/>
      <c r="L12" s="25"/>
    </row>
    <row r="13" spans="1:12" x14ac:dyDescent="0.3">
      <c r="A13" s="22" t="s">
        <v>17</v>
      </c>
      <c r="B13" s="6" t="s">
        <v>46</v>
      </c>
      <c r="C13" s="32">
        <f>+Horticulture!D19</f>
        <v>1046.41107848</v>
      </c>
      <c r="D13" s="32">
        <f>+Horticulture!E19</f>
        <v>1015.72349597</v>
      </c>
      <c r="E13" s="32">
        <f>+Horticulture!F19</f>
        <v>1110.1252675999999</v>
      </c>
      <c r="F13" s="32">
        <f>+Horticulture!G19</f>
        <v>1227.59916279</v>
      </c>
      <c r="G13" s="32">
        <f>+Horticulture!H19</f>
        <v>1313.2209326699999</v>
      </c>
      <c r="H13" s="23">
        <v>7.0000000000000007E-2</v>
      </c>
      <c r="I13" s="36">
        <v>1142.5999999999999</v>
      </c>
      <c r="J13" s="23">
        <v>0.15</v>
      </c>
      <c r="K13" s="8" t="str">
        <f>+Horticulture!L19</f>
        <v>GTA (2021)</v>
      </c>
      <c r="L13" s="8" t="str">
        <f>+Horticulture!M19</f>
        <v>IHS Global Trade Atlas (GTA) (2021). Unpublished trade data accessed via subscription service. Last Accessed September 2021.</v>
      </c>
    </row>
    <row r="14" spans="1:12" x14ac:dyDescent="0.3">
      <c r="A14" s="22" t="s">
        <v>335</v>
      </c>
      <c r="B14" s="6" t="s">
        <v>46</v>
      </c>
      <c r="C14" s="32">
        <f>+Wine!D12</f>
        <v>231.19889155999999</v>
      </c>
      <c r="D14" s="32">
        <f>+Wine!E12</f>
        <v>248.96032554999999</v>
      </c>
      <c r="E14" s="32">
        <f>+Wine!F12</f>
        <v>265.55277066000002</v>
      </c>
      <c r="F14" s="32">
        <f>+Wine!G12</f>
        <v>259.39533553999996</v>
      </c>
      <c r="G14" s="32">
        <f>+Wine!H12</f>
        <v>242.03695989999997</v>
      </c>
      <c r="H14" s="23">
        <v>-7.0000000000000007E-2</v>
      </c>
      <c r="I14" s="36">
        <v>249.4</v>
      </c>
      <c r="J14" s="23">
        <v>-0.03</v>
      </c>
      <c r="K14" s="8" t="str">
        <f>+Wine!L12</f>
        <v>GTA (2021)</v>
      </c>
      <c r="L14" s="8" t="str">
        <f>+Wine!M12</f>
        <v>IHS Global Trade Atlas (GTA) (2021). Unpublished trade data accessed via subscription service. Last Accessed September 2021.</v>
      </c>
    </row>
    <row r="15" spans="1:12" x14ac:dyDescent="0.3">
      <c r="A15" s="15" t="s">
        <v>251</v>
      </c>
      <c r="B15" s="9" t="s">
        <v>46</v>
      </c>
      <c r="C15" s="33">
        <f t="shared" ref="C15:G15" si="3">SUM(C16,C17,C19,C20,C21,C22,C23)</f>
        <v>187.31146546999997</v>
      </c>
      <c r="D15" s="33">
        <f t="shared" si="3"/>
        <v>169.04145291999995</v>
      </c>
      <c r="E15" s="33">
        <f t="shared" si="3"/>
        <v>187.00166248000002</v>
      </c>
      <c r="F15" s="33">
        <f t="shared" si="3"/>
        <v>252.41545930999999</v>
      </c>
      <c r="G15" s="33">
        <f t="shared" si="3"/>
        <v>210.28821965999998</v>
      </c>
      <c r="H15" s="21">
        <v>-0.17</v>
      </c>
      <c r="I15" s="31">
        <v>201.2</v>
      </c>
      <c r="J15" s="21">
        <v>0.05</v>
      </c>
      <c r="K15" s="25"/>
      <c r="L15" s="25"/>
    </row>
    <row r="16" spans="1:12" x14ac:dyDescent="0.3">
      <c r="A16" s="22" t="s">
        <v>252</v>
      </c>
      <c r="B16" s="6" t="s">
        <v>46</v>
      </c>
      <c r="C16" s="32">
        <f>+Beef!D17</f>
        <v>10.30576404</v>
      </c>
      <c r="D16" s="32">
        <f>+Beef!E17</f>
        <v>5.412450119999999</v>
      </c>
      <c r="E16" s="32">
        <f>+Beef!F17</f>
        <v>6.20261905</v>
      </c>
      <c r="F16" s="32">
        <f>+Beef!G17</f>
        <v>7.7520124099999999</v>
      </c>
      <c r="G16" s="32">
        <f>+Beef!H17</f>
        <v>24.422131149999998</v>
      </c>
      <c r="H16" s="23">
        <v>2.15</v>
      </c>
      <c r="I16" s="36">
        <v>10.8</v>
      </c>
      <c r="J16" s="23">
        <v>1.26</v>
      </c>
      <c r="K16" s="8" t="str">
        <f>+Beef!L17</f>
        <v>GTA (2021)</v>
      </c>
      <c r="L16" s="8" t="str">
        <f>+Beef!M17</f>
        <v>IHS Global Trade Atlas (GTA) (2021). Unpublished trade data accessed via subscription service. Last Accessed September 2021.</v>
      </c>
    </row>
    <row r="17" spans="1:12" x14ac:dyDescent="0.3">
      <c r="A17" s="22" t="s">
        <v>253</v>
      </c>
      <c r="B17" s="6" t="s">
        <v>46</v>
      </c>
      <c r="C17" s="32">
        <f>'Sheep Meat'!D15</f>
        <v>0.47567795000000002</v>
      </c>
      <c r="D17" s="32">
        <f>'Sheep Meat'!E15</f>
        <v>1.01932592</v>
      </c>
      <c r="E17" s="32">
        <f>'Sheep Meat'!F15</f>
        <v>0.87896863000000003</v>
      </c>
      <c r="F17" s="32">
        <f>'Sheep Meat'!G15</f>
        <v>1.04898867</v>
      </c>
      <c r="G17" s="32">
        <f>'Sheep Meat'!H15</f>
        <v>3.1704763499999995</v>
      </c>
      <c r="H17" s="23">
        <v>2.02</v>
      </c>
      <c r="I17" s="36">
        <v>1.3</v>
      </c>
      <c r="J17" s="23">
        <v>1.4</v>
      </c>
      <c r="K17" s="8" t="str">
        <f>'Sheep Meat'!L15</f>
        <v>GTA (2021)</v>
      </c>
      <c r="L17" s="8" t="str">
        <f>'Sheep Meat'!M15</f>
        <v>IHS Global Trade Atlas (GTA) (2021). Unpublished trade data accessed via subscription service. Last Accessed September 2021.</v>
      </c>
    </row>
    <row r="18" spans="1:12" x14ac:dyDescent="0.3">
      <c r="A18" s="22" t="s">
        <v>336</v>
      </c>
      <c r="B18" s="6" t="s">
        <v>46</v>
      </c>
      <c r="C18" s="32">
        <f>+'Goat Meat'!D10</f>
        <v>1.740355E-2</v>
      </c>
      <c r="D18" s="32">
        <f>+'Goat Meat'!E10</f>
        <v>0</v>
      </c>
      <c r="E18" s="32">
        <f>+'Goat Meat'!F10</f>
        <v>0</v>
      </c>
      <c r="F18" s="32">
        <f>+'Goat Meat'!G10</f>
        <v>0</v>
      </c>
      <c r="G18" s="32">
        <f>+'Goat Meat'!H10</f>
        <v>0</v>
      </c>
      <c r="H18" s="23" t="s">
        <v>116</v>
      </c>
      <c r="I18" s="36">
        <v>0</v>
      </c>
      <c r="J18" s="23">
        <v>-1</v>
      </c>
      <c r="K18" s="8" t="str">
        <f>+'Goat Meat'!L10</f>
        <v>GTA (2021)</v>
      </c>
      <c r="L18" s="8" t="str">
        <f>+'Goat Meat'!M10</f>
        <v>IHS Global Trade Atlas (GTA) (2021). Unpublished trade data accessed via subscription service. Last Accessed September 2021.</v>
      </c>
    </row>
    <row r="19" spans="1:12" x14ac:dyDescent="0.3">
      <c r="A19" s="22" t="s">
        <v>22</v>
      </c>
      <c r="B19" s="6" t="s">
        <v>46</v>
      </c>
      <c r="C19" s="32">
        <f>Pork!D11</f>
        <v>169.79119075</v>
      </c>
      <c r="D19" s="32">
        <f>Pork!E11</f>
        <v>154.54380483999998</v>
      </c>
      <c r="E19" s="32">
        <f>Pork!F11</f>
        <v>168.35336942000001</v>
      </c>
      <c r="F19" s="32">
        <f>Pork!G11</f>
        <v>230.00815528000001</v>
      </c>
      <c r="G19" s="32">
        <f>Pork!H11</f>
        <v>174.49798494999999</v>
      </c>
      <c r="H19" s="23">
        <v>-0.24</v>
      </c>
      <c r="I19" s="36">
        <v>179.4</v>
      </c>
      <c r="J19" s="23">
        <v>-0.03</v>
      </c>
      <c r="K19" s="8" t="str">
        <f>Pork!L11</f>
        <v>GTA (2021)</v>
      </c>
      <c r="L19" s="8" t="str">
        <f>Pork!M11</f>
        <v>IHS Global Trade Atlas (GTA) (2021). Unpublished trade data accessed via subscription service. Last Accessed September 2021.</v>
      </c>
    </row>
    <row r="20" spans="1:12" x14ac:dyDescent="0.3">
      <c r="A20" s="22" t="s">
        <v>23</v>
      </c>
      <c r="B20" s="6" t="s">
        <v>46</v>
      </c>
      <c r="C20" s="32">
        <f>Poultry!D11</f>
        <v>0</v>
      </c>
      <c r="D20" s="32">
        <f>Poultry!E11</f>
        <v>2.2699618499999996</v>
      </c>
      <c r="E20" s="32">
        <f>Poultry!F11</f>
        <v>3.3349244699999998</v>
      </c>
      <c r="F20" s="32">
        <f>Poultry!G11</f>
        <v>1.02451549</v>
      </c>
      <c r="G20" s="32">
        <f>Poultry!H11</f>
        <v>2.5200000000000001E-3</v>
      </c>
      <c r="H20" s="23">
        <v>-1</v>
      </c>
      <c r="I20" s="36">
        <v>1.3</v>
      </c>
      <c r="J20" s="23">
        <v>-1</v>
      </c>
      <c r="K20" s="8" t="str">
        <f>Poultry!L11</f>
        <v>GTA (2021)</v>
      </c>
      <c r="L20" s="8" t="str">
        <f>Poultry!M11</f>
        <v>IHS Global Trade Atlas (GTA) (2021). Unpublished trade data accessed via subscription service. Last Accessed September 2021.</v>
      </c>
    </row>
    <row r="21" spans="1:12" x14ac:dyDescent="0.3">
      <c r="A21" s="22" t="s">
        <v>24</v>
      </c>
      <c r="B21" s="6" t="s">
        <v>46</v>
      </c>
      <c r="C21" s="32">
        <f>Wool!D13</f>
        <v>0.11664720999999999</v>
      </c>
      <c r="D21" s="32">
        <f>Wool!E13</f>
        <v>4.8207350000000003E-2</v>
      </c>
      <c r="E21" s="32">
        <f>Wool!F13</f>
        <v>5.603172E-2</v>
      </c>
      <c r="F21" s="32">
        <f>Wool!G13</f>
        <v>4.6595249999999998E-2</v>
      </c>
      <c r="G21" s="32">
        <f>Wool!H13</f>
        <v>3.9309169999999997E-2</v>
      </c>
      <c r="H21" s="23">
        <v>-0.16</v>
      </c>
      <c r="I21" s="36">
        <v>0.1</v>
      </c>
      <c r="J21" s="23">
        <v>-0.36</v>
      </c>
      <c r="K21" s="8" t="str">
        <f>Wool!L13</f>
        <v>GTA (2021)</v>
      </c>
      <c r="L21" s="8" t="str">
        <f>Wool!M13</f>
        <v>IHS Global Trade Atlas (GTA) (2021). Unpublished trade data accessed via subscription service. Last Accessed September 2021.</v>
      </c>
    </row>
    <row r="22" spans="1:12" x14ac:dyDescent="0.3">
      <c r="A22" s="22" t="s">
        <v>25</v>
      </c>
      <c r="B22" s="6" t="s">
        <v>46</v>
      </c>
      <c r="C22" s="32">
        <f>Eggs!D13</f>
        <v>5.6820490199999991</v>
      </c>
      <c r="D22" s="32">
        <f>Eggs!E13</f>
        <v>4.5662684100000002</v>
      </c>
      <c r="E22" s="32">
        <f>Eggs!F13</f>
        <v>6.8362008000000012</v>
      </c>
      <c r="F22" s="32">
        <f>Eggs!G13</f>
        <v>11.276736570000001</v>
      </c>
      <c r="G22" s="32">
        <f>Eggs!H13</f>
        <v>7.0963791400000007</v>
      </c>
      <c r="H22" s="23">
        <v>-0.37</v>
      </c>
      <c r="I22" s="36">
        <v>7.1</v>
      </c>
      <c r="J22" s="23">
        <v>0</v>
      </c>
      <c r="K22" s="8" t="str">
        <f>Eggs!L13</f>
        <v>GTA (2021)</v>
      </c>
      <c r="L22" s="8" t="str">
        <f>Eggs!M13</f>
        <v>IHS Global Trade Atlas (GTA) (2021). Unpublished trade data accessed via subscription service. Last Accessed September 2021.</v>
      </c>
    </row>
    <row r="23" spans="1:12" x14ac:dyDescent="0.3">
      <c r="A23" s="22" t="s">
        <v>26</v>
      </c>
      <c r="B23" s="6" t="s">
        <v>46</v>
      </c>
      <c r="C23" s="32">
        <f>Milk!D14</f>
        <v>0.94013650000000004</v>
      </c>
      <c r="D23" s="32">
        <f>Milk!E14</f>
        <v>1.1814344299999999</v>
      </c>
      <c r="E23" s="32">
        <f>Milk!F14</f>
        <v>1.33954839</v>
      </c>
      <c r="F23" s="32">
        <f>Milk!G14</f>
        <v>1.2584556400000002</v>
      </c>
      <c r="G23" s="32">
        <f>Milk!H14</f>
        <v>1.0594188999999998</v>
      </c>
      <c r="H23" s="23">
        <v>-0.16</v>
      </c>
      <c r="I23" s="36">
        <v>1.2</v>
      </c>
      <c r="J23" s="23">
        <v>-0.08</v>
      </c>
      <c r="K23" s="8" t="str">
        <f>Milk!L14</f>
        <v>GTA (2021)</v>
      </c>
      <c r="L23" s="8" t="str">
        <f>Milk!M14</f>
        <v>IHS Global Trade Atlas (GTA) (2021). Unpublished trade data accessed via subscription service. Last Accessed September 2021.</v>
      </c>
    </row>
    <row r="24" spans="1:12" x14ac:dyDescent="0.3">
      <c r="A24" s="9" t="s">
        <v>337</v>
      </c>
      <c r="B24" s="9" t="s">
        <v>46</v>
      </c>
      <c r="C24" s="33">
        <f t="shared" ref="C24:G24" si="4">SUM(C25,C26)</f>
        <v>917.00748601999999</v>
      </c>
      <c r="D24" s="33">
        <f t="shared" si="4"/>
        <v>965.85881535999999</v>
      </c>
      <c r="E24" s="33">
        <f t="shared" si="4"/>
        <v>1005.8705648700001</v>
      </c>
      <c r="F24" s="33">
        <f t="shared" si="4"/>
        <v>926.56160199999999</v>
      </c>
      <c r="G24" s="33">
        <f t="shared" si="4"/>
        <v>930.85336822999989</v>
      </c>
      <c r="H24" s="21">
        <v>0</v>
      </c>
      <c r="I24" s="31">
        <v>949.2</v>
      </c>
      <c r="J24" s="21">
        <v>-0.02</v>
      </c>
      <c r="K24" s="25"/>
      <c r="L24" s="25"/>
    </row>
    <row r="25" spans="1:12" x14ac:dyDescent="0.3">
      <c r="A25" s="22" t="s">
        <v>27</v>
      </c>
      <c r="B25" s="6" t="s">
        <v>46</v>
      </c>
      <c r="C25" s="32">
        <f>Forestry!D16</f>
        <v>120.19328539</v>
      </c>
      <c r="D25" s="32">
        <f>Forestry!E16</f>
        <v>134.63360573000003</v>
      </c>
      <c r="E25" s="32">
        <f>Forestry!F16</f>
        <v>135.98905991000001</v>
      </c>
      <c r="F25" s="32">
        <f>Forestry!G16</f>
        <v>99.599217780000004</v>
      </c>
      <c r="G25" s="32">
        <f>Forestry!H16</f>
        <v>115.03769393999998</v>
      </c>
      <c r="H25" s="23">
        <v>0.16</v>
      </c>
      <c r="I25" s="36">
        <v>121.1</v>
      </c>
      <c r="J25" s="23">
        <v>-0.05</v>
      </c>
      <c r="K25" s="8" t="str">
        <f>Forestry!L16</f>
        <v>GTA (2021)</v>
      </c>
      <c r="L25" s="8" t="str">
        <f>Forestry!M16</f>
        <v>IHS Global Trade Atlas (GTA) (2021). Unpublished trade data accessed via subscription service. Last Accessed September 2021.</v>
      </c>
    </row>
    <row r="26" spans="1:12" x14ac:dyDescent="0.3">
      <c r="A26" s="22" t="s">
        <v>28</v>
      </c>
      <c r="B26" s="6" t="s">
        <v>46</v>
      </c>
      <c r="C26" s="32">
        <f>Fisheries!D14</f>
        <v>796.81420062999996</v>
      </c>
      <c r="D26" s="32">
        <f>Fisheries!E14</f>
        <v>831.22520962999999</v>
      </c>
      <c r="E26" s="32">
        <f>Fisheries!F14</f>
        <v>869.88150496000003</v>
      </c>
      <c r="F26" s="32">
        <f>Fisheries!G14</f>
        <v>826.96238421999999</v>
      </c>
      <c r="G26" s="32">
        <f>Fisheries!H14</f>
        <v>815.81567428999995</v>
      </c>
      <c r="H26" s="23">
        <v>-0.01</v>
      </c>
      <c r="I26" s="36">
        <v>828.1</v>
      </c>
      <c r="J26" s="23">
        <f t="shared" ref="J26" si="5">IF(ISBLANK(F26),"",IF(ISNA(F26/AVERAGE(C26:F26)-1),"N/A",IF(ISERROR(F26/AVERAGE(C26:F26)-1),"N/A",F26/AVERAGE(C26:F26)-1)))</f>
        <v>-5.1231159189464304E-3</v>
      </c>
      <c r="K26" s="8" t="str">
        <f>Fisheries!L14</f>
        <v>GTA (2021)</v>
      </c>
      <c r="L26" s="8" t="str">
        <f>Fisheries!M14</f>
        <v>IHS Global Trade Atlas (GTA) (2021). Unpublished trade data accessed via subscription service. Last Accessed September 2021.</v>
      </c>
    </row>
    <row r="27" spans="1:12" x14ac:dyDescent="0.3">
      <c r="A27" s="9" t="s">
        <v>338</v>
      </c>
      <c r="B27" s="9" t="s">
        <v>46</v>
      </c>
      <c r="C27" s="33">
        <f>+C28-SUM(C3,C12,C15,C24)</f>
        <v>177.78262348999942</v>
      </c>
      <c r="D27" s="33">
        <f>+D28-SUM(D3,D12,D15,D24)</f>
        <v>170.29175260000011</v>
      </c>
      <c r="E27" s="33">
        <f>+E28-SUM(E3,E12,E15,E24)</f>
        <v>183.76709734999986</v>
      </c>
      <c r="F27" s="33">
        <f>+F28-SUM(F3,F12,F15,F24)</f>
        <v>165.56726069999968</v>
      </c>
      <c r="G27" s="33">
        <f>+G28-SUM(G3,G12,G15,G24)</f>
        <v>173.62542721</v>
      </c>
      <c r="H27" s="21">
        <v>0.05</v>
      </c>
      <c r="I27" s="31">
        <v>174.2</v>
      </c>
      <c r="J27" s="21">
        <v>0</v>
      </c>
      <c r="K27" s="25"/>
      <c r="L27" s="25"/>
    </row>
    <row r="28" spans="1:12" x14ac:dyDescent="0.3">
      <c r="A28" s="15" t="s">
        <v>344</v>
      </c>
      <c r="B28" s="9" t="s">
        <v>46</v>
      </c>
      <c r="C28" s="33">
        <v>2438.4991142199997</v>
      </c>
      <c r="D28" s="33">
        <v>2436.2764171500003</v>
      </c>
      <c r="E28" s="33">
        <v>2661.5184469800001</v>
      </c>
      <c r="F28" s="33">
        <v>2966.7022042899998</v>
      </c>
      <c r="G28" s="33">
        <v>2844.0992546399998</v>
      </c>
      <c r="H28" s="21">
        <v>-0.04</v>
      </c>
      <c r="I28" s="31">
        <v>2669.4</v>
      </c>
      <c r="J28" s="21">
        <v>7.0000000000000007E-2</v>
      </c>
      <c r="K28" s="11"/>
      <c r="L28" s="11"/>
    </row>
    <row r="29" spans="1:12" x14ac:dyDescent="0.3">
      <c r="A29" s="26" t="s">
        <v>266</v>
      </c>
      <c r="B29" s="27"/>
      <c r="C29" s="27"/>
      <c r="D29" s="27"/>
      <c r="E29" s="27"/>
      <c r="F29" s="27"/>
      <c r="G29" s="27"/>
      <c r="H29" s="28"/>
      <c r="I29" s="28"/>
      <c r="J29" s="28"/>
      <c r="K29" s="13"/>
      <c r="L29" s="13"/>
    </row>
    <row r="30" spans="1:12" x14ac:dyDescent="0.3">
      <c r="A30" s="13" t="s">
        <v>340</v>
      </c>
      <c r="B30" s="13"/>
      <c r="C30" s="13"/>
      <c r="D30" s="13"/>
      <c r="E30" s="13"/>
      <c r="F30" s="13"/>
      <c r="G30" s="13"/>
      <c r="H30" s="29"/>
      <c r="I30" s="29"/>
      <c r="J30" s="29"/>
      <c r="K30" s="13"/>
      <c r="L30" s="13"/>
    </row>
    <row r="31" spans="1:12" x14ac:dyDescent="0.3">
      <c r="A31" s="13" t="s">
        <v>341</v>
      </c>
      <c r="B31" s="13"/>
      <c r="C31" s="13"/>
      <c r="D31" s="13"/>
      <c r="E31" s="13"/>
      <c r="F31" s="13"/>
      <c r="G31" s="13"/>
      <c r="H31" s="29"/>
      <c r="I31" s="29"/>
      <c r="J31" s="29"/>
      <c r="K31" s="13"/>
      <c r="L31" s="13"/>
    </row>
    <row r="32" spans="1:12" x14ac:dyDescent="0.3">
      <c r="A32" s="13" t="s">
        <v>342</v>
      </c>
      <c r="B32" s="13"/>
      <c r="C32" s="13"/>
      <c r="D32" s="13"/>
      <c r="E32" s="13"/>
      <c r="F32" s="13"/>
      <c r="G32" s="13"/>
      <c r="H32" s="29"/>
      <c r="I32" s="29"/>
      <c r="J32" s="29"/>
      <c r="K32" s="13"/>
      <c r="L32" s="13"/>
    </row>
    <row r="33" spans="1:12" x14ac:dyDescent="0.3">
      <c r="A33" s="13" t="s">
        <v>292</v>
      </c>
      <c r="B33" s="13"/>
      <c r="C33" s="13"/>
      <c r="D33" s="13"/>
      <c r="E33" s="13"/>
      <c r="F33" s="13"/>
      <c r="G33" s="13"/>
      <c r="H33" s="29"/>
      <c r="I33" s="29"/>
      <c r="J33" s="29"/>
      <c r="K33" s="13"/>
      <c r="L33" s="13"/>
    </row>
    <row r="34" spans="1:12" x14ac:dyDescent="0.3">
      <c r="A34" s="27"/>
      <c r="B34" s="27"/>
      <c r="C34" s="27"/>
      <c r="D34" s="27"/>
      <c r="E34" s="27"/>
      <c r="F34" s="27"/>
      <c r="G34" s="27"/>
      <c r="H34" s="28"/>
      <c r="I34" s="28"/>
      <c r="J34" s="28"/>
      <c r="K34" s="13"/>
      <c r="L34" s="13"/>
    </row>
    <row r="35" spans="1:12" ht="46.8" x14ac:dyDescent="0.3">
      <c r="A35" s="5" t="s">
        <v>345</v>
      </c>
      <c r="B35" s="5" t="s">
        <v>38</v>
      </c>
      <c r="C35" s="5" t="str">
        <f>+'Gross Value of Production'!C1</f>
        <v>2016-17</v>
      </c>
      <c r="D35" s="5" t="str">
        <f>+'Gross Value of Production'!D1</f>
        <v>2017-18</v>
      </c>
      <c r="E35" s="5" t="str">
        <f>+'Gross Value of Production'!E1</f>
        <v>2018-19</v>
      </c>
      <c r="F35" s="5" t="str">
        <f>+'Gross Value of Production'!F1</f>
        <v>2019-20</v>
      </c>
      <c r="G35" s="5" t="str">
        <f>+'Gross Value of Production'!G1</f>
        <v>2020-21[e]</v>
      </c>
      <c r="H35" s="19" t="s">
        <v>40</v>
      </c>
      <c r="I35" s="19" t="s">
        <v>139</v>
      </c>
      <c r="J35" s="19" t="s">
        <v>42</v>
      </c>
      <c r="K35" s="9"/>
      <c r="L35" s="9"/>
    </row>
    <row r="36" spans="1:12" x14ac:dyDescent="0.3">
      <c r="A36" s="9" t="s">
        <v>243</v>
      </c>
      <c r="B36" s="9" t="s">
        <v>46</v>
      </c>
      <c r="C36" s="35">
        <v>2813.3</v>
      </c>
      <c r="D36" s="35">
        <v>1329.7</v>
      </c>
      <c r="E36" s="30">
        <v>1417.6</v>
      </c>
      <c r="F36" s="30">
        <v>298.2</v>
      </c>
      <c r="G36" s="30">
        <v>2342.3000000000002</v>
      </c>
      <c r="H36" s="21">
        <v>6.9000000000000006E-2</v>
      </c>
      <c r="I36" s="31">
        <v>1640.2</v>
      </c>
      <c r="J36" s="21">
        <v>4.3E-3</v>
      </c>
      <c r="K36" s="11"/>
      <c r="L36" s="11"/>
    </row>
    <row r="37" spans="1:12" x14ac:dyDescent="0.3">
      <c r="A37" s="22" t="s">
        <v>9</v>
      </c>
      <c r="B37" s="6" t="s">
        <v>46</v>
      </c>
      <c r="C37" s="139">
        <f>Wheat!D13</f>
        <v>1189.4918975199998</v>
      </c>
      <c r="D37" s="139">
        <f>Wheat!E13</f>
        <v>491.06629545999999</v>
      </c>
      <c r="E37" s="139">
        <f>Wheat!F13</f>
        <v>51.438067710000006</v>
      </c>
      <c r="F37" s="139">
        <v>-163</v>
      </c>
      <c r="G37" s="139">
        <f>Wheat!H13</f>
        <v>1341.55225359</v>
      </c>
      <c r="H37" s="8">
        <v>-9.1999999999999993</v>
      </c>
      <c r="I37" s="32">
        <f>Wheat!J13</f>
        <v>582.114040424</v>
      </c>
      <c r="J37" s="8">
        <f>Wheat!K13</f>
        <v>1.3046210199857757</v>
      </c>
      <c r="K37" s="8" t="str">
        <f>Wheat!L13</f>
        <v>GTA (2021)</v>
      </c>
      <c r="L37" s="8" t="str">
        <f>Wheat!M13</f>
        <v>IHS Global Trade Atlas (GTA) (2021). Unpublished trade data accessed via subscription service. Last Accessed September 2021.</v>
      </c>
    </row>
    <row r="38" spans="1:12" x14ac:dyDescent="0.3">
      <c r="A38" s="22" t="s">
        <v>332</v>
      </c>
      <c r="B38" s="6" t="s">
        <v>46</v>
      </c>
      <c r="C38" s="139">
        <f>Barley!D13</f>
        <v>-0.12022923999999999</v>
      </c>
      <c r="D38" s="139">
        <f>Barley!E19</f>
        <v>1974.5353154700001</v>
      </c>
      <c r="E38" s="32">
        <f>Barley!F19</f>
        <v>1381.61953255</v>
      </c>
      <c r="F38" s="32">
        <f>Barley!G19</f>
        <v>1027.4019380699999</v>
      </c>
      <c r="G38" s="32">
        <f>Barley!H19</f>
        <v>1909.8120179100001</v>
      </c>
      <c r="H38" s="8">
        <v>0.9</v>
      </c>
      <c r="I38" s="32">
        <f>Barley!J19</f>
        <v>1679.8258759079999</v>
      </c>
      <c r="J38" s="8">
        <f>Barley!K19</f>
        <v>0.1369107032463619</v>
      </c>
      <c r="K38" s="8" t="str">
        <f>Barley!L19</f>
        <v>GTA (2021)</v>
      </c>
      <c r="L38" s="8" t="str">
        <f>Barley!M19</f>
        <v>IHS Global Trade Atlas (GTA) (2021). Unpublished trade data accessed via subscription service. Last Accessed September 2021.</v>
      </c>
    </row>
    <row r="39" spans="1:12" s="128" customFormat="1" x14ac:dyDescent="0.3">
      <c r="A39" s="143" t="s">
        <v>11</v>
      </c>
      <c r="B39" s="144" t="s">
        <v>46</v>
      </c>
      <c r="C39" s="139">
        <f>Rice!D12</f>
        <v>-40.682298909999993</v>
      </c>
      <c r="D39" s="139">
        <f>Rice!E18</f>
        <v>112.00487801</v>
      </c>
      <c r="E39" s="139">
        <f>Rice!F18</f>
        <v>16.198990960000003</v>
      </c>
      <c r="F39" s="139">
        <f>Rice!G18</f>
        <v>-243.84769534000003</v>
      </c>
      <c r="G39" s="139">
        <f>Rice!H18</f>
        <v>-259.737168</v>
      </c>
      <c r="H39" s="67">
        <f>Rice!I18</f>
        <v>6.5161463338191838E-2</v>
      </c>
      <c r="I39" s="139">
        <f>Rice!J18</f>
        <v>-81.709771414000016</v>
      </c>
      <c r="J39" s="67">
        <f>Rice!K18</f>
        <v>2.1787773176354408</v>
      </c>
      <c r="K39" s="67" t="str">
        <f>Rice!L18</f>
        <v>GTA (2021)</v>
      </c>
      <c r="L39" s="67" t="str">
        <f>Rice!M18</f>
        <v>IHS Global Trade Atlas (GTA) (2021). Unpublished trade data accessed via subscription service. Last Accessed September 2021.</v>
      </c>
    </row>
    <row r="40" spans="1:12" x14ac:dyDescent="0.3">
      <c r="A40" s="22" t="s">
        <v>244</v>
      </c>
      <c r="B40" s="6" t="s">
        <v>46</v>
      </c>
      <c r="C40" s="139">
        <f>'Coarse Grains'!D13</f>
        <v>55.494797130000002</v>
      </c>
      <c r="D40" s="139">
        <f>'Coarse Grains'!E13</f>
        <v>41.508612999999997</v>
      </c>
      <c r="E40" s="32">
        <f>'Coarse Grains'!F13</f>
        <v>5.5922729999999996</v>
      </c>
      <c r="F40" s="32">
        <f>'Coarse Grains'!G13</f>
        <v>1.2915256100000001</v>
      </c>
      <c r="G40" s="32">
        <f>'Coarse Grains'!H13</f>
        <v>68.766856000000004</v>
      </c>
      <c r="H40" s="8">
        <v>52.2</v>
      </c>
      <c r="I40" s="32">
        <f>'Coarse Grains'!J13</f>
        <v>34.530812947999998</v>
      </c>
      <c r="J40" s="8">
        <f>'Coarse Grains'!K13</f>
        <v>0.99146356917678458</v>
      </c>
      <c r="K40" s="8" t="str">
        <f>'Coarse Grains'!L13</f>
        <v>GTA (2021)</v>
      </c>
      <c r="L40" s="8" t="str">
        <f>'Coarse Grains'!M13</f>
        <v>IHS Global Trade Atlas (GTA) (2021). Unpublished trade data accessed via subscription service. Last Accessed September 2021.</v>
      </c>
    </row>
    <row r="41" spans="1:12" x14ac:dyDescent="0.3">
      <c r="A41" s="22" t="s">
        <v>13</v>
      </c>
      <c r="B41" s="6" t="s">
        <v>46</v>
      </c>
      <c r="C41" s="139">
        <f>Pulses!D13</f>
        <v>518.79995944999996</v>
      </c>
      <c r="D41" s="139">
        <f>Pulses!E13</f>
        <v>316.73001144</v>
      </c>
      <c r="E41" s="32">
        <f>Pulses!F13</f>
        <v>43.410115900000001</v>
      </c>
      <c r="F41" s="32">
        <f>Pulses!G13</f>
        <v>37.111919010000001</v>
      </c>
      <c r="G41" s="32">
        <f>Pulses!H13</f>
        <v>199.67643803000001</v>
      </c>
      <c r="H41" s="8">
        <f>Pulses!I13</f>
        <v>4.3803856916209627</v>
      </c>
      <c r="I41" s="32">
        <f>Pulses!J13</f>
        <v>223.14568876600001</v>
      </c>
      <c r="J41" s="8">
        <v>-0.11</v>
      </c>
      <c r="K41" s="8" t="str">
        <f>Pulses!L13</f>
        <v>GTA (2021)</v>
      </c>
      <c r="L41" s="8" t="str">
        <f>Pulses!M13</f>
        <v>IHS Global Trade Atlas (GTA) (2021). Unpublished trade data accessed via subscription service. Last Accessed September 2021.</v>
      </c>
    </row>
    <row r="42" spans="1:12" x14ac:dyDescent="0.3">
      <c r="A42" s="22" t="s">
        <v>14</v>
      </c>
      <c r="B42" s="6" t="s">
        <v>46</v>
      </c>
      <c r="C42" s="139">
        <f>Oilseeds!D14</f>
        <v>201.64706121</v>
      </c>
      <c r="D42" s="139">
        <f>Oilseeds!E14</f>
        <v>22.729184789999998</v>
      </c>
      <c r="E42" s="32">
        <f>Oilseeds!F14</f>
        <v>-0.38667162000000133</v>
      </c>
      <c r="F42" s="32">
        <f>Oilseeds!G14</f>
        <v>-12.610896980000001</v>
      </c>
      <c r="G42" s="32">
        <f>Oilseeds!H14</f>
        <v>437.07406082</v>
      </c>
      <c r="H42" s="8">
        <f>Oilseeds!I14</f>
        <v>-35.658443528098658</v>
      </c>
      <c r="I42" s="32">
        <f>Oilseeds!J14</f>
        <v>129.69054764399999</v>
      </c>
      <c r="J42" s="8">
        <f>Oilseeds!K14</f>
        <v>2.3701304278532809</v>
      </c>
      <c r="K42" s="8" t="str">
        <f>Oilseeds!L14</f>
        <v>GTA (2021)</v>
      </c>
      <c r="L42" s="8" t="str">
        <f>Oilseeds!M14</f>
        <v>IHS Global Trade Atlas (GTA) (2021). Unpublished trade data accessed via subscription service. Last Accessed September 2021.</v>
      </c>
    </row>
    <row r="43" spans="1:12" x14ac:dyDescent="0.3">
      <c r="A43" s="137" t="s">
        <v>333</v>
      </c>
      <c r="B43" s="6" t="s">
        <v>46</v>
      </c>
      <c r="C43" s="139">
        <f>'Cotton Lint'!D13</f>
        <v>731.59640437000007</v>
      </c>
      <c r="D43" s="139">
        <v>928.9</v>
      </c>
      <c r="E43" s="32">
        <v>1113.0999999999999</v>
      </c>
      <c r="F43" s="32">
        <v>419.7</v>
      </c>
      <c r="G43" s="32">
        <v>271.10000000000002</v>
      </c>
      <c r="H43" s="8">
        <f>'Cotton Lint'!I19</f>
        <v>-0.35429668453130869</v>
      </c>
      <c r="I43" s="32">
        <v>692.9</v>
      </c>
      <c r="J43" s="8">
        <v>0.61</v>
      </c>
      <c r="K43" s="8" t="str">
        <f>'Cotton Lint'!L19</f>
        <v>GTA (2021)</v>
      </c>
      <c r="L43" s="8" t="str">
        <f>'Cotton Lint'!M19</f>
        <v>IHS Global Trade Atlas (GTA) (2021). Unpublished trade data accessed via subscription service. Last Accessed September 2021.</v>
      </c>
    </row>
    <row r="44" spans="1:12" x14ac:dyDescent="0.3">
      <c r="A44" s="22" t="s">
        <v>245</v>
      </c>
      <c r="B44" s="6" t="s">
        <v>46</v>
      </c>
      <c r="C44" s="139">
        <f>Sugarcane!D14</f>
        <v>-1.7494232899999993</v>
      </c>
      <c r="D44" s="139">
        <f>Sugarcane!E14</f>
        <v>-3.1894746199999995</v>
      </c>
      <c r="E44" s="32">
        <f>Sugarcane!F14</f>
        <v>-1.8886814000000003</v>
      </c>
      <c r="F44" s="32">
        <f>Sugarcane!G14</f>
        <v>-1.5236390700000002</v>
      </c>
      <c r="G44" s="32">
        <f>Sugarcane!H14</f>
        <v>-1.6087722300000002</v>
      </c>
      <c r="H44" s="8">
        <f>Sugarcane!I14</f>
        <v>5.5874886432257131E-2</v>
      </c>
      <c r="I44" s="32">
        <f>Sugarcane!J14</f>
        <v>-1.9919981219999996</v>
      </c>
      <c r="J44" s="8">
        <f>Sugarcane!K14</f>
        <v>-0.19238265727642057</v>
      </c>
      <c r="K44" s="8" t="str">
        <f>Sugarcane!L14</f>
        <v>GTA (2021)</v>
      </c>
      <c r="L44" s="8" t="str">
        <f>Sugarcane!M14</f>
        <v>IHS Global Trade Atlas (GTA) (2021). Unpublished trade data accessed via subscription service. Last Accessed September 2021.</v>
      </c>
    </row>
    <row r="45" spans="1:12" x14ac:dyDescent="0.3">
      <c r="A45" s="9" t="s">
        <v>334</v>
      </c>
      <c r="B45" s="9" t="s">
        <v>46</v>
      </c>
      <c r="C45" s="34">
        <f t="shared" ref="C45:G45" si="6">SUM(C46)</f>
        <v>-721.00577048000002</v>
      </c>
      <c r="D45" s="34">
        <f t="shared" si="6"/>
        <v>-650.60861897000007</v>
      </c>
      <c r="E45" s="33">
        <f t="shared" si="6"/>
        <v>-651.8951315999999</v>
      </c>
      <c r="F45" s="33">
        <f t="shared" si="6"/>
        <v>-765.88418679000006</v>
      </c>
      <c r="G45" s="33">
        <f t="shared" si="6"/>
        <v>-1024.9160106699999</v>
      </c>
      <c r="H45" s="21">
        <v>3.0000000000000001E-3</v>
      </c>
      <c r="I45" s="31">
        <v>762.9</v>
      </c>
      <c r="J45" s="21">
        <v>3.3999999999999998E-3</v>
      </c>
      <c r="K45" s="25"/>
      <c r="L45" s="25"/>
    </row>
    <row r="46" spans="1:12" x14ac:dyDescent="0.3">
      <c r="A46" s="22" t="s">
        <v>17</v>
      </c>
      <c r="B46" s="6" t="s">
        <v>46</v>
      </c>
      <c r="C46" s="139">
        <f>Horticulture!D20</f>
        <v>-721.00577048000002</v>
      </c>
      <c r="D46" s="139">
        <f>Horticulture!E20</f>
        <v>-650.60861897000007</v>
      </c>
      <c r="E46" s="32">
        <f>Horticulture!F20</f>
        <v>-651.8951315999999</v>
      </c>
      <c r="F46" s="32">
        <f>Horticulture!G20</f>
        <v>-765.88418679000006</v>
      </c>
      <c r="G46" s="32">
        <f>Horticulture!H20</f>
        <v>-1024.9160106699999</v>
      </c>
      <c r="H46" s="8">
        <f>Horticulture!I20</f>
        <v>0.33821278510222652</v>
      </c>
      <c r="I46" s="32">
        <f>Horticulture!J20</f>
        <v>-762.86194370199996</v>
      </c>
      <c r="J46" s="8">
        <f>Horticulture!K20</f>
        <v>0.34351440536712263</v>
      </c>
      <c r="K46" s="8" t="str">
        <f>Horticulture!L20</f>
        <v>GTA (2021)</v>
      </c>
      <c r="L46" s="8" t="str">
        <f>Horticulture!M20</f>
        <v>IHS Global Trade Atlas (GTA) (2021). Unpublished trade data accessed via subscription service. Last Accessed September 2021.</v>
      </c>
    </row>
    <row r="47" spans="1:12" x14ac:dyDescent="0.3">
      <c r="A47" s="22" t="s">
        <v>335</v>
      </c>
      <c r="B47" s="6" t="s">
        <v>46</v>
      </c>
      <c r="C47" s="32">
        <f>Wine!D13</f>
        <v>276.45792544</v>
      </c>
      <c r="D47" s="32">
        <f>Wine!E13</f>
        <v>270.68758845000002</v>
      </c>
      <c r="E47" s="32">
        <f>Wine!F13</f>
        <v>274.29519434000002</v>
      </c>
      <c r="F47" s="32">
        <f>Wine!G13</f>
        <v>291.19914446000001</v>
      </c>
      <c r="G47" s="32">
        <f>Wine!H13</f>
        <v>277.9171381000001</v>
      </c>
      <c r="H47" s="8">
        <f>Wine!I13</f>
        <v>-4.561141958239634E-2</v>
      </c>
      <c r="I47" s="32">
        <f>Wine!J13</f>
        <v>278.11139815800004</v>
      </c>
      <c r="J47" s="8">
        <f>Wine!K13</f>
        <v>-6.9849729024618057E-4</v>
      </c>
      <c r="K47" s="8" t="str">
        <f>Wine!L13</f>
        <v>GTA (2021)</v>
      </c>
      <c r="L47" s="8" t="str">
        <f>Wine!M13</f>
        <v>IHS Global Trade Atlas (GTA) (2021). Unpublished trade data accessed via subscription service. Last Accessed September 2021.</v>
      </c>
    </row>
    <row r="48" spans="1:12" x14ac:dyDescent="0.3">
      <c r="A48" s="15" t="s">
        <v>251</v>
      </c>
      <c r="B48" s="9" t="s">
        <v>46</v>
      </c>
      <c r="C48" s="33">
        <f t="shared" ref="C48:G48" si="7">SUM(C49,C50,C52,C53,C54,C55,C56)</f>
        <v>2415.2443185299999</v>
      </c>
      <c r="D48" s="33">
        <f t="shared" si="7"/>
        <v>2998.2451220799999</v>
      </c>
      <c r="E48" s="33">
        <f t="shared" si="7"/>
        <v>3427.9898885200005</v>
      </c>
      <c r="F48" s="33">
        <f t="shared" si="7"/>
        <v>3546.19093269</v>
      </c>
      <c r="G48" s="33">
        <f t="shared" si="7"/>
        <v>2931.6219953399996</v>
      </c>
      <c r="H48" s="21">
        <v>2E-3</v>
      </c>
      <c r="I48" s="31">
        <v>3063.9</v>
      </c>
      <c r="J48" s="140">
        <v>0</v>
      </c>
      <c r="K48" s="25"/>
      <c r="L48" s="25"/>
    </row>
    <row r="49" spans="1:12" x14ac:dyDescent="0.3">
      <c r="A49" s="22" t="s">
        <v>252</v>
      </c>
      <c r="B49" s="6" t="s">
        <v>46</v>
      </c>
      <c r="C49" s="32">
        <f>Beef!D18</f>
        <v>1293.2357239600001</v>
      </c>
      <c r="D49" s="32">
        <f>Beef!E18</f>
        <v>1474.0732758800002</v>
      </c>
      <c r="E49" s="32">
        <f>Beef!F18</f>
        <v>1796.3724909499999</v>
      </c>
      <c r="F49" s="32">
        <f>Beef!G18</f>
        <v>2095.7043135899999</v>
      </c>
      <c r="G49" s="32">
        <f>Beef!H18</f>
        <v>1527.30569885</v>
      </c>
      <c r="H49" s="8">
        <v>0.3</v>
      </c>
      <c r="I49" s="32">
        <f>Beef!J18</f>
        <v>1637.3383006459999</v>
      </c>
      <c r="J49" s="8">
        <v>7.0000000000000007E-2</v>
      </c>
      <c r="K49" s="8" t="str">
        <f>Beef!L18</f>
        <v>GTA (2021)</v>
      </c>
      <c r="L49" s="8" t="str">
        <f>Beef!M18</f>
        <v>IHS Global Trade Atlas (GTA) (2021). Unpublished trade data accessed via subscription service. Last Accessed September 2021.</v>
      </c>
    </row>
    <row r="50" spans="1:12" x14ac:dyDescent="0.3">
      <c r="A50" s="22" t="s">
        <v>253</v>
      </c>
      <c r="B50" s="6" t="s">
        <v>46</v>
      </c>
      <c r="C50" s="32">
        <f>'Sheep Meat'!D16</f>
        <v>560.81855204999999</v>
      </c>
      <c r="D50" s="32">
        <f>'Sheep Meat'!E16</f>
        <v>740.01191607999999</v>
      </c>
      <c r="E50" s="32">
        <f>'Sheep Meat'!F16</f>
        <v>926.17331936999994</v>
      </c>
      <c r="F50" s="32">
        <f>'Sheep Meat'!G16</f>
        <v>1096.88635333</v>
      </c>
      <c r="G50" s="32">
        <f>'Sheep Meat'!H16</f>
        <v>1048.2546836500001</v>
      </c>
      <c r="H50" s="8">
        <f>'Sheep Meat'!I16</f>
        <v>-4.4336106044496559E-2</v>
      </c>
      <c r="I50" s="32">
        <f>'Sheep Meat'!J16</f>
        <v>874.42896489599991</v>
      </c>
      <c r="J50" s="8">
        <v>0.2</v>
      </c>
      <c r="K50" s="8" t="str">
        <f>'Sheep Meat'!L16</f>
        <v>GTA (2021)</v>
      </c>
      <c r="L50" s="8" t="str">
        <f>'Sheep Meat'!M16</f>
        <v>IHS Global Trade Atlas (GTA) (2021). Unpublished trade data accessed via subscription service. Last Accessed September 2021.</v>
      </c>
    </row>
    <row r="51" spans="1:12" x14ac:dyDescent="0.3">
      <c r="A51" s="22" t="s">
        <v>336</v>
      </c>
      <c r="B51" s="6" t="s">
        <v>46</v>
      </c>
      <c r="C51" s="32">
        <f>+'Goat Meat'!D11</f>
        <v>5.0826394500000003</v>
      </c>
      <c r="D51" s="32">
        <f>+'Goat Meat'!E11</f>
        <v>11.922556999999999</v>
      </c>
      <c r="E51" s="32">
        <f>+'Goat Meat'!F11</f>
        <v>5.7913579999999998</v>
      </c>
      <c r="F51" s="32">
        <f>+'Goat Meat'!G11</f>
        <v>1.3317479999999999</v>
      </c>
      <c r="G51" s="32">
        <f>+'Goat Meat'!H11</f>
        <v>3.1523319999999999</v>
      </c>
      <c r="H51" s="8">
        <v>1.4</v>
      </c>
      <c r="I51" s="32">
        <f>+'Goat Meat'!J11</f>
        <v>5.4561268900000002</v>
      </c>
      <c r="J51" s="8">
        <f>+'Goat Meat'!K11</f>
        <v>-0.42223997653397682</v>
      </c>
      <c r="K51" s="8" t="str">
        <f>+'Goat Meat'!L11</f>
        <v>GTA (2021)</v>
      </c>
      <c r="L51" s="8" t="str">
        <f>+'Goat Meat'!M11</f>
        <v>IHS Global Trade Atlas (GTA) (2021). Unpublished trade data accessed via subscription service. Last Accessed September 2021.</v>
      </c>
    </row>
    <row r="52" spans="1:12" x14ac:dyDescent="0.3">
      <c r="A52" s="22" t="s">
        <v>22</v>
      </c>
      <c r="B52" s="6" t="s">
        <v>46</v>
      </c>
      <c r="C52" s="32">
        <f>Pork!D12</f>
        <v>-140.40614475000001</v>
      </c>
      <c r="D52" s="32">
        <f>Pork!E12</f>
        <v>-123.35410183999997</v>
      </c>
      <c r="E52" s="32">
        <f>Pork!F12</f>
        <v>-138.27325342</v>
      </c>
      <c r="F52" s="32">
        <f>Pork!G12</f>
        <v>-206.70191228000002</v>
      </c>
      <c r="G52" s="32">
        <f>Pork!H12</f>
        <v>-152.96952295</v>
      </c>
      <c r="H52" s="8">
        <f>Pork!I12</f>
        <v>-0.25995109932613347</v>
      </c>
      <c r="I52" s="32">
        <f>Pork!J12</f>
        <v>-152.34098704799999</v>
      </c>
      <c r="J52" s="8">
        <f>Pork!K12</f>
        <v>4.1258489535844767E-3</v>
      </c>
      <c r="K52" s="8" t="str">
        <f>Pork!L12</f>
        <v>GTA (2021)</v>
      </c>
      <c r="L52" s="8" t="str">
        <f>Pork!M12</f>
        <v>IHS Global Trade Atlas (GTA) (2021). Unpublished trade data accessed via subscription service. Last Accessed September 2021.</v>
      </c>
    </row>
    <row r="53" spans="1:12" x14ac:dyDescent="0.3">
      <c r="A53" s="22" t="s">
        <v>23</v>
      </c>
      <c r="B53" s="6" t="s">
        <v>46</v>
      </c>
      <c r="C53" s="32">
        <f>Poultry!D12</f>
        <v>21.813934</v>
      </c>
      <c r="D53" s="32">
        <f>Poultry!E12</f>
        <v>20.638699150000001</v>
      </c>
      <c r="E53" s="32">
        <f>Poultry!F12</f>
        <v>18.789807530000001</v>
      </c>
      <c r="F53" s="32">
        <f>Poultry!G12</f>
        <v>23.190638509999999</v>
      </c>
      <c r="G53" s="32">
        <f>Poultry!H12</f>
        <v>12.319944</v>
      </c>
      <c r="H53" s="8">
        <f>Poultry!I12</f>
        <v>-0.46875356645796817</v>
      </c>
      <c r="I53" s="32">
        <f>Poultry!J12</f>
        <v>19.350604638</v>
      </c>
      <c r="J53" s="8">
        <f>Poultry!K12</f>
        <v>-0.36333028189689998</v>
      </c>
      <c r="K53" s="8" t="str">
        <f>Poultry!L12</f>
        <v>GTA (2021)</v>
      </c>
      <c r="L53" s="8" t="str">
        <f>Poultry!M12</f>
        <v>IHS Global Trade Atlas (GTA) (2021). Unpublished trade data accessed via subscription service. Last Accessed September 2021.</v>
      </c>
    </row>
    <row r="54" spans="1:12" x14ac:dyDescent="0.3">
      <c r="A54" s="22" t="s">
        <v>24</v>
      </c>
      <c r="B54" s="6" t="s">
        <v>46</v>
      </c>
      <c r="C54" s="32">
        <f>Wool!D14</f>
        <v>672.95083579000004</v>
      </c>
      <c r="D54" s="32">
        <f>Wool!E14</f>
        <v>870.79723765000006</v>
      </c>
      <c r="E54" s="32">
        <f>Wool!F14</f>
        <v>807.41811428000005</v>
      </c>
      <c r="F54" s="32">
        <f>Wool!G14</f>
        <v>527.44501875000003</v>
      </c>
      <c r="G54" s="32">
        <f>Wool!H14</f>
        <v>465.96460682999998</v>
      </c>
      <c r="H54" s="8">
        <f>Wool!I14</f>
        <v>-0.11656269323711388</v>
      </c>
      <c r="I54" s="32">
        <f>Wool!J14</f>
        <v>668.91516266000008</v>
      </c>
      <c r="J54" s="8">
        <f>Wool!K14</f>
        <v>-0.30340253466964229</v>
      </c>
      <c r="K54" s="8" t="str">
        <f>Wool!L14</f>
        <v>GTA (2021)</v>
      </c>
      <c r="L54" s="8" t="str">
        <f>Wool!M14</f>
        <v>IHS Global Trade Atlas (GTA) (2021). Unpublished trade data accessed via subscription service. Last Accessed September 2021.</v>
      </c>
    </row>
    <row r="55" spans="1:12" x14ac:dyDescent="0.3">
      <c r="A55" s="22" t="s">
        <v>25</v>
      </c>
      <c r="B55" s="6" t="s">
        <v>46</v>
      </c>
      <c r="C55" s="32">
        <f>Eggs!D14</f>
        <v>-1.8387730199999992</v>
      </c>
      <c r="D55" s="32">
        <f>Eggs!E14</f>
        <v>7.6737535899999996</v>
      </c>
      <c r="E55" s="32">
        <f>Eggs!F14</f>
        <v>1.0572601999999991</v>
      </c>
      <c r="F55" s="32">
        <f>Eggs!G14</f>
        <v>-9.8029605699999998</v>
      </c>
      <c r="G55" s="32">
        <f>Eggs!H14</f>
        <v>-6.1970111400000008</v>
      </c>
      <c r="H55" s="8">
        <f>Eggs!I14</f>
        <v>-0.36784289850509921</v>
      </c>
      <c r="I55" s="32">
        <f>Eggs!J14</f>
        <v>-1.8215461879999999</v>
      </c>
      <c r="J55" s="8">
        <f>Eggs!K14</f>
        <v>2.4020609418661643</v>
      </c>
      <c r="K55" s="8" t="str">
        <f>Eggs!L14</f>
        <v>GTA (2021)</v>
      </c>
      <c r="L55" s="8" t="str">
        <f>Eggs!M14</f>
        <v>IHS Global Trade Atlas (GTA) (2021). Unpublished trade data accessed via subscription service. Last Accessed September 2021.</v>
      </c>
    </row>
    <row r="56" spans="1:12" x14ac:dyDescent="0.3">
      <c r="A56" s="22" t="s">
        <v>26</v>
      </c>
      <c r="B56" s="6" t="s">
        <v>46</v>
      </c>
      <c r="C56" s="32">
        <f>Milk!D15</f>
        <v>8.6701905000000004</v>
      </c>
      <c r="D56" s="32">
        <f>Milk!E15</f>
        <v>8.4043415699999997</v>
      </c>
      <c r="E56" s="32">
        <f>Milk!F15</f>
        <v>16.452149609999999</v>
      </c>
      <c r="F56" s="32">
        <f>Milk!G15</f>
        <v>19.46948136</v>
      </c>
      <c r="G56" s="32">
        <f>Milk!H15</f>
        <v>36.943596100000001</v>
      </c>
      <c r="H56" s="8">
        <f>Milk!I15</f>
        <v>0.89751310869022549</v>
      </c>
      <c r="I56" s="32">
        <f>Milk!J15</f>
        <v>17.987951828</v>
      </c>
      <c r="J56" s="8">
        <f>Milk!K15</f>
        <v>1.0537966997717714</v>
      </c>
      <c r="K56" s="8" t="str">
        <f>Milk!L15</f>
        <v>GTA (2021)</v>
      </c>
      <c r="L56" s="8" t="str">
        <f>Milk!M15</f>
        <v>IHS Global Trade Atlas (GTA) (2021). Unpublished trade data accessed via subscription service. Last Accessed September 2021.</v>
      </c>
    </row>
    <row r="57" spans="1:12" x14ac:dyDescent="0.3">
      <c r="A57" s="9" t="s">
        <v>337</v>
      </c>
      <c r="B57" s="9" t="s">
        <v>46</v>
      </c>
      <c r="C57" s="33">
        <f t="shared" ref="C57:G57" si="8">SUM(C58,C59)</f>
        <v>-756.15880301999994</v>
      </c>
      <c r="D57" s="33">
        <f t="shared" si="8"/>
        <v>-797.85728236</v>
      </c>
      <c r="E57" s="33">
        <f t="shared" si="8"/>
        <v>-815.70833087000005</v>
      </c>
      <c r="F57" s="33">
        <f t="shared" si="8"/>
        <v>-723.37555899999995</v>
      </c>
      <c r="G57" s="33">
        <f t="shared" si="8"/>
        <v>-787.28125822999993</v>
      </c>
      <c r="H57" s="21">
        <v>-1E-3</v>
      </c>
      <c r="I57" s="31"/>
      <c r="J57" s="21">
        <v>-5.9999999999999995E-4</v>
      </c>
      <c r="K57" s="25"/>
      <c r="L57" s="25"/>
    </row>
    <row r="58" spans="1:12" x14ac:dyDescent="0.3">
      <c r="A58" s="22" t="s">
        <v>27</v>
      </c>
      <c r="B58" s="6" t="s">
        <v>46</v>
      </c>
      <c r="C58" s="32">
        <f>Forestry!D17</f>
        <v>18.146498610000009</v>
      </c>
      <c r="D58" s="32">
        <f>Forestry!E17</f>
        <v>12.291180269999984</v>
      </c>
      <c r="E58" s="32">
        <f>Forestry!F17</f>
        <v>30.046105089999998</v>
      </c>
      <c r="F58" s="32">
        <f>Forestry!G17</f>
        <v>81.783074220000003</v>
      </c>
      <c r="G58" s="32">
        <f>Forestry!H17</f>
        <v>-0.39717993999998669</v>
      </c>
      <c r="H58" s="8">
        <f>Forestry!I17</f>
        <v>-1.0048565053807046</v>
      </c>
      <c r="I58" s="32">
        <f>Forestry!J17</f>
        <v>28.37393565</v>
      </c>
      <c r="J58" s="8">
        <f>Forestry!K17</f>
        <v>-1.01399805599404</v>
      </c>
      <c r="K58" s="8" t="str">
        <f>Forestry!L17</f>
        <v>GTA (2021)</v>
      </c>
      <c r="L58" s="8" t="str">
        <f>Forestry!M17</f>
        <v>IHS Global Trade Atlas (GTA) (2021). Unpublished trade data accessed via subscription service. Last Accessed September 2021.</v>
      </c>
    </row>
    <row r="59" spans="1:12" x14ac:dyDescent="0.3">
      <c r="A59" s="22" t="s">
        <v>28</v>
      </c>
      <c r="B59" s="6" t="s">
        <v>46</v>
      </c>
      <c r="C59" s="32">
        <f>Fisheries!D15</f>
        <v>-774.30530162999992</v>
      </c>
      <c r="D59" s="32">
        <f>Fisheries!E15</f>
        <v>-810.14846263000004</v>
      </c>
      <c r="E59" s="32">
        <f>Fisheries!F15</f>
        <v>-845.75443596000002</v>
      </c>
      <c r="F59" s="32">
        <f>Fisheries!G15</f>
        <v>-805.15863321999996</v>
      </c>
      <c r="G59" s="32">
        <f>Fisheries!H15</f>
        <v>-786.88407828999993</v>
      </c>
      <c r="H59" s="8">
        <f>Fisheries!I15</f>
        <v>-2.2696837835441408E-2</v>
      </c>
      <c r="I59" s="32">
        <f>Fisheries!J15</f>
        <v>-804.45018234599991</v>
      </c>
      <c r="J59" s="8">
        <f>Fisheries!K15</f>
        <v>-2.183616144479239E-2</v>
      </c>
      <c r="K59" s="8" t="str">
        <f>Fisheries!L15</f>
        <v>GTA (2021)</v>
      </c>
      <c r="L59" s="8" t="str">
        <f>Fisheries!M15</f>
        <v>IHS Global Trade Atlas (GTA) (2021). Unpublished trade data accessed via subscription service. Last Accessed September 2021.</v>
      </c>
    </row>
    <row r="60" spans="1:12" x14ac:dyDescent="0.3">
      <c r="A60" s="9" t="s">
        <v>338</v>
      </c>
      <c r="B60" s="9" t="s">
        <v>46</v>
      </c>
      <c r="C60" s="33"/>
      <c r="D60" s="33"/>
      <c r="E60" s="34"/>
      <c r="F60" s="34"/>
      <c r="G60" s="34"/>
      <c r="H60" s="21" t="str">
        <f t="shared" ref="H60:H61" si="9">IF(ISBLANK(F60),"N/A",IF(ISNA(F60/E60-1),"N/A",IF(ISERROR(F60/E60-1),"N/A",F60/E60-1)))</f>
        <v>N/A</v>
      </c>
      <c r="I60" s="31"/>
      <c r="J60" s="21" t="str">
        <f t="shared" ref="J60" si="10">IF(ISBLANK(F60),"",IF(ISNA(F60/AVERAGE(C60:F60)-1),"N/A",IF(ISERROR(F60/AVERAGE(C60:F60)-1),"N/A",F60/AVERAGE(C60:F60)-1)))</f>
        <v/>
      </c>
      <c r="K60" s="25"/>
      <c r="L60" s="25"/>
    </row>
    <row r="61" spans="1:12" x14ac:dyDescent="0.3">
      <c r="A61" s="15" t="s">
        <v>346</v>
      </c>
      <c r="B61" s="9" t="s">
        <v>46</v>
      </c>
      <c r="C61" s="33">
        <f>+Exports!C88-'Imports &amp; Trade Balance'!C28</f>
        <v>4013.1008857800007</v>
      </c>
      <c r="D61" s="33">
        <f>+Exports!D88-'Imports &amp; Trade Balance'!D28</f>
        <v>3214.0235828499999</v>
      </c>
      <c r="E61" s="33">
        <f>+Exports!E88-'Imports &amp; Trade Balance'!E28</f>
        <v>3729.28155302</v>
      </c>
      <c r="F61" s="33">
        <f>+Exports!F88-'Imports &amp; Trade Balance'!F28</f>
        <v>2707.3977957100005</v>
      </c>
      <c r="G61" s="33">
        <f>+Exports!G88-'Imports &amp; Trade Balance'!G28</f>
        <v>3801.2007453600004</v>
      </c>
      <c r="H61" s="21">
        <f t="shared" si="9"/>
        <v>-0.27401625293817533</v>
      </c>
      <c r="I61" s="31"/>
      <c r="J61" s="21">
        <v>-2.0999999999999999E-3</v>
      </c>
      <c r="K61" s="11"/>
      <c r="L61" s="11"/>
    </row>
    <row r="62" spans="1:12" x14ac:dyDescent="0.3">
      <c r="A62" s="26" t="s">
        <v>266</v>
      </c>
      <c r="B62" s="27"/>
      <c r="C62" s="27"/>
      <c r="D62" s="27"/>
      <c r="E62" s="27"/>
      <c r="F62" s="27"/>
      <c r="G62" s="27"/>
      <c r="H62" s="28"/>
      <c r="I62" s="28"/>
      <c r="J62" s="28"/>
      <c r="K62" s="13"/>
      <c r="L62" s="13"/>
    </row>
    <row r="63" spans="1:12" x14ac:dyDescent="0.3">
      <c r="A63" s="13" t="s">
        <v>340</v>
      </c>
      <c r="B63" s="13"/>
      <c r="C63" s="13"/>
      <c r="D63" s="13"/>
      <c r="E63" s="13"/>
      <c r="F63" s="13"/>
      <c r="G63" s="13"/>
      <c r="H63" s="29"/>
      <c r="I63" s="29"/>
      <c r="J63" s="29"/>
      <c r="K63" s="13"/>
      <c r="L63" s="13"/>
    </row>
    <row r="64" spans="1:12" x14ac:dyDescent="0.3">
      <c r="A64" s="13" t="s">
        <v>341</v>
      </c>
      <c r="B64" s="13"/>
      <c r="C64" s="13"/>
      <c r="D64" s="13"/>
      <c r="E64" s="13"/>
      <c r="F64" s="13"/>
      <c r="G64" s="13"/>
      <c r="H64" s="29"/>
      <c r="I64" s="29"/>
      <c r="J64" s="29"/>
      <c r="K64" s="13"/>
      <c r="L64" s="13"/>
    </row>
    <row r="65" spans="1:12" x14ac:dyDescent="0.3">
      <c r="A65" s="138" t="s">
        <v>342</v>
      </c>
      <c r="B65" s="13"/>
      <c r="C65" s="13"/>
      <c r="D65" s="13"/>
      <c r="E65" s="13"/>
      <c r="F65" s="13"/>
      <c r="G65" s="13"/>
      <c r="H65" s="29"/>
      <c r="I65" s="29"/>
      <c r="J65" s="29"/>
      <c r="K65" s="13"/>
      <c r="L65" s="13"/>
    </row>
    <row r="66" spans="1:12" x14ac:dyDescent="0.3">
      <c r="A66" s="13" t="s">
        <v>292</v>
      </c>
      <c r="B66" s="13"/>
      <c r="C66" s="13"/>
      <c r="D66" s="13"/>
      <c r="E66" s="13"/>
      <c r="F66" s="13"/>
      <c r="G66" s="13"/>
      <c r="H66" s="29"/>
      <c r="I66" s="29"/>
      <c r="J66" s="29"/>
      <c r="K66" s="13"/>
      <c r="L66" s="13"/>
    </row>
  </sheetData>
  <conditionalFormatting sqref="A40">
    <cfRule type="expression" dxfId="31" priority="7">
      <formula>MOD(ROW(),2)=0</formula>
    </cfRule>
  </conditionalFormatting>
  <conditionalFormatting sqref="H61:L61 A36:B39 B40 A3:E9 B10:E10 A41:B61 C28:L28 A11:E28 C4:G26 C36:G61 H36:L59 G46:L47 G49:L56 G58:L59 H3:L26">
    <cfRule type="expression" dxfId="30" priority="15">
      <formula>MOD(ROW(),2)=0</formula>
    </cfRule>
  </conditionalFormatting>
  <conditionalFormatting sqref="K27:L27">
    <cfRule type="expression" dxfId="29" priority="14">
      <formula>MOD(ROW(),2)=0</formula>
    </cfRule>
  </conditionalFormatting>
  <conditionalFormatting sqref="H27:J27">
    <cfRule type="expression" dxfId="28" priority="13">
      <formula>MOD(ROW(),2)=0</formula>
    </cfRule>
  </conditionalFormatting>
  <conditionalFormatting sqref="K60:L60">
    <cfRule type="expression" dxfId="27" priority="12">
      <formula>MOD(ROW(),2)=0</formula>
    </cfRule>
  </conditionalFormatting>
  <conditionalFormatting sqref="H60:J60">
    <cfRule type="expression" dxfId="26" priority="11">
      <formula>MOD(ROW(),2)=0</formula>
    </cfRule>
  </conditionalFormatting>
  <conditionalFormatting sqref="F28:G28 F3:G26">
    <cfRule type="expression" dxfId="25" priority="10">
      <formula>MOD(ROW(),2)=0</formula>
    </cfRule>
  </conditionalFormatting>
  <conditionalFormatting sqref="A10">
    <cfRule type="expression" dxfId="24" priority="8">
      <formula>MOD(ROW(),2)=0</formula>
    </cfRule>
  </conditionalFormatting>
  <conditionalFormatting sqref="F27">
    <cfRule type="expression" dxfId="23" priority="6">
      <formula>MOD(ROW(),2)=0</formula>
    </cfRule>
  </conditionalFormatting>
  <conditionalFormatting sqref="G27">
    <cfRule type="expression" dxfId="22" priority="5">
      <formula>MOD(ROW(),2)=0</formula>
    </cfRule>
  </conditionalFormatting>
  <conditionalFormatting sqref="K25:L26">
    <cfRule type="expression" dxfId="21" priority="4">
      <formula>MOD(ROW(),2)=0</formula>
    </cfRule>
  </conditionalFormatting>
  <conditionalFormatting sqref="K16:L23">
    <cfRule type="expression" dxfId="20" priority="3">
      <formula>MOD(ROW(),2)=0</formula>
    </cfRule>
  </conditionalFormatting>
  <conditionalFormatting sqref="K13:L14">
    <cfRule type="expression" dxfId="19" priority="2">
      <formula>MOD(ROW(),2)=0</formula>
    </cfRule>
  </conditionalFormatting>
  <conditionalFormatting sqref="K4:L11">
    <cfRule type="expression" dxfId="18" priority="1">
      <formula>MOD(ROW(),2)=0</formula>
    </cfRule>
  </conditionalFormatting>
  <pageMargins left="0.7" right="0.7" top="0.75" bottom="0.75" header="0.3" footer="0.3"/>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0D70-0857-4AE7-AF00-17CF3B1D4F63}">
  <dimension ref="A2:G64"/>
  <sheetViews>
    <sheetView workbookViewId="0"/>
  </sheetViews>
  <sheetFormatPr defaultRowHeight="14.4" x14ac:dyDescent="0.3"/>
  <cols>
    <col min="1" max="1" width="65.6640625" customWidth="1"/>
    <col min="2" max="2" width="12.6640625" customWidth="1"/>
    <col min="4" max="4" width="17.33203125" bestFit="1" customWidth="1"/>
    <col min="5" max="5" width="25.109375" customWidth="1"/>
    <col min="6" max="6" width="19.109375" customWidth="1"/>
    <col min="7" max="7" width="25.5546875" bestFit="1" customWidth="1"/>
  </cols>
  <sheetData>
    <row r="2" spans="1:7" x14ac:dyDescent="0.3">
      <c r="A2" s="5" t="s">
        <v>347</v>
      </c>
      <c r="B2" s="5" t="s">
        <v>348</v>
      </c>
      <c r="C2" s="5" t="s">
        <v>38</v>
      </c>
      <c r="D2" s="5" t="s">
        <v>349</v>
      </c>
      <c r="E2" s="5" t="s">
        <v>350</v>
      </c>
      <c r="F2" s="5" t="s">
        <v>351</v>
      </c>
      <c r="G2" s="5" t="s">
        <v>352</v>
      </c>
    </row>
    <row r="3" spans="1:7" x14ac:dyDescent="0.3">
      <c r="A3" s="5"/>
      <c r="B3" s="5"/>
      <c r="C3" s="5"/>
      <c r="D3" s="127" t="s">
        <v>353</v>
      </c>
      <c r="E3" s="127" t="s">
        <v>353</v>
      </c>
      <c r="F3" s="127" t="s">
        <v>437</v>
      </c>
      <c r="G3" s="127" t="s">
        <v>437</v>
      </c>
    </row>
    <row r="4" spans="1:7" x14ac:dyDescent="0.3">
      <c r="A4" s="6" t="s">
        <v>354</v>
      </c>
      <c r="B4" s="6" t="s">
        <v>116</v>
      </c>
      <c r="C4" s="6" t="s">
        <v>355</v>
      </c>
      <c r="D4" s="7">
        <v>76375</v>
      </c>
      <c r="E4" s="7">
        <v>49141</v>
      </c>
      <c r="F4" s="7">
        <f>F19</f>
        <v>45909</v>
      </c>
      <c r="G4" s="7">
        <f>SUM(G43:G44,G46:G52)</f>
        <v>3452</v>
      </c>
    </row>
    <row r="5" spans="1:7" x14ac:dyDescent="0.3">
      <c r="A5" s="6" t="s">
        <v>28</v>
      </c>
      <c r="B5" s="6" t="s">
        <v>116</v>
      </c>
      <c r="C5" s="6" t="s">
        <v>355</v>
      </c>
      <c r="D5" s="7">
        <v>910</v>
      </c>
      <c r="E5" s="7">
        <v>705</v>
      </c>
      <c r="F5" s="7">
        <f>F30+F36</f>
        <v>978</v>
      </c>
      <c r="G5" s="7">
        <f>G45</f>
        <v>34</v>
      </c>
    </row>
    <row r="6" spans="1:7" x14ac:dyDescent="0.3">
      <c r="A6" s="6" t="s">
        <v>27</v>
      </c>
      <c r="B6" s="6" t="s">
        <v>116</v>
      </c>
      <c r="C6" s="6" t="s">
        <v>355</v>
      </c>
      <c r="D6" s="7">
        <v>868</v>
      </c>
      <c r="E6" s="7">
        <v>17035</v>
      </c>
      <c r="F6" s="7">
        <f>F32</f>
        <v>1010</v>
      </c>
      <c r="G6" s="7">
        <f>SUM(G53,G56)</f>
        <v>2444</v>
      </c>
    </row>
    <row r="7" spans="1:7" x14ac:dyDescent="0.3">
      <c r="A7" s="6" t="s">
        <v>356</v>
      </c>
      <c r="B7" s="6" t="s">
        <v>116</v>
      </c>
      <c r="C7" s="6" t="s">
        <v>355</v>
      </c>
      <c r="D7" s="7">
        <v>8077</v>
      </c>
      <c r="E7" s="8"/>
      <c r="F7" s="7">
        <f>SUM(F38,F35,F37,F18)</f>
        <v>5018</v>
      </c>
      <c r="G7" s="8"/>
    </row>
    <row r="8" spans="1:7" x14ac:dyDescent="0.3">
      <c r="A8" s="9" t="s">
        <v>357</v>
      </c>
      <c r="B8" s="9" t="s">
        <v>116</v>
      </c>
      <c r="C8" s="9" t="s">
        <v>355</v>
      </c>
      <c r="D8" s="10">
        <v>86231</v>
      </c>
      <c r="E8" s="10">
        <v>66881</v>
      </c>
      <c r="F8" s="10">
        <f>SUM(F4:F7)</f>
        <v>52915</v>
      </c>
      <c r="G8" s="10">
        <f>SUM(G4:G7)</f>
        <v>5930</v>
      </c>
    </row>
    <row r="9" spans="1:7" x14ac:dyDescent="0.3">
      <c r="A9" s="6" t="s">
        <v>358</v>
      </c>
      <c r="B9" s="6"/>
      <c r="C9" s="6"/>
      <c r="D9" s="6" t="s">
        <v>418</v>
      </c>
      <c r="E9" s="6" t="s">
        <v>418</v>
      </c>
      <c r="F9" s="6" t="s">
        <v>419</v>
      </c>
      <c r="G9" s="6" t="s">
        <v>419</v>
      </c>
    </row>
    <row r="10" spans="1:7" x14ac:dyDescent="0.3">
      <c r="A10" s="11" t="s">
        <v>418</v>
      </c>
      <c r="B10" s="11"/>
      <c r="C10" s="11" t="s">
        <v>359</v>
      </c>
      <c r="D10" s="11"/>
      <c r="E10" s="11"/>
      <c r="F10" s="11"/>
      <c r="G10" s="11"/>
    </row>
    <row r="11" spans="1:7" x14ac:dyDescent="0.3">
      <c r="A11" s="11" t="s">
        <v>435</v>
      </c>
      <c r="B11" s="11"/>
      <c r="C11" s="11" t="s">
        <v>434</v>
      </c>
      <c r="D11" s="11"/>
      <c r="E11" s="11"/>
      <c r="F11" s="11"/>
      <c r="G11" s="11"/>
    </row>
    <row r="12" spans="1:7" x14ac:dyDescent="0.3">
      <c r="A12" s="12" t="s">
        <v>420</v>
      </c>
      <c r="B12" s="13"/>
      <c r="C12" s="13"/>
      <c r="D12" s="13"/>
      <c r="E12" s="13"/>
      <c r="F12" s="13"/>
      <c r="G12" s="13"/>
    </row>
    <row r="13" spans="1:7" x14ac:dyDescent="0.3">
      <c r="A13" s="13" t="s">
        <v>436</v>
      </c>
      <c r="B13" s="13"/>
      <c r="C13" s="13"/>
      <c r="D13" s="14"/>
      <c r="E13" s="13"/>
      <c r="F13" s="13"/>
      <c r="G13" s="13"/>
    </row>
    <row r="14" spans="1:7" x14ac:dyDescent="0.3">
      <c r="A14" s="13"/>
      <c r="B14" s="13"/>
      <c r="C14" s="13"/>
      <c r="D14" s="13"/>
      <c r="E14" s="13"/>
      <c r="F14" s="13"/>
      <c r="G14" s="13"/>
    </row>
    <row r="15" spans="1:7" x14ac:dyDescent="0.3">
      <c r="A15" s="5" t="s">
        <v>360</v>
      </c>
      <c r="B15" s="5" t="s">
        <v>348</v>
      </c>
      <c r="C15" s="5" t="s">
        <v>38</v>
      </c>
      <c r="D15" s="5" t="s">
        <v>349</v>
      </c>
      <c r="E15" s="5" t="s">
        <v>350</v>
      </c>
      <c r="F15" s="5" t="s">
        <v>351</v>
      </c>
      <c r="G15" s="5" t="s">
        <v>352</v>
      </c>
    </row>
    <row r="16" spans="1:7" x14ac:dyDescent="0.3">
      <c r="A16" s="5"/>
      <c r="B16" s="5"/>
      <c r="C16" s="5"/>
      <c r="D16" s="127" t="s">
        <v>353</v>
      </c>
      <c r="E16" s="127" t="s">
        <v>353</v>
      </c>
      <c r="F16" s="127" t="s">
        <v>437</v>
      </c>
      <c r="G16" s="127" t="s">
        <v>437</v>
      </c>
    </row>
    <row r="17" spans="1:7" x14ac:dyDescent="0.3">
      <c r="A17" s="15" t="s">
        <v>361</v>
      </c>
      <c r="B17" s="11"/>
      <c r="C17" s="9" t="s">
        <v>355</v>
      </c>
      <c r="D17" s="16">
        <v>86231</v>
      </c>
      <c r="E17" s="16"/>
      <c r="F17" s="8">
        <v>0</v>
      </c>
      <c r="G17" s="129"/>
    </row>
    <row r="18" spans="1:7" x14ac:dyDescent="0.3">
      <c r="A18" s="17" t="s">
        <v>362</v>
      </c>
      <c r="B18" s="6"/>
      <c r="C18" s="6" t="s">
        <v>355</v>
      </c>
      <c r="D18" s="8">
        <v>0</v>
      </c>
      <c r="E18" s="8"/>
      <c r="F18" s="8">
        <v>0</v>
      </c>
      <c r="G18" s="8"/>
    </row>
    <row r="19" spans="1:7" x14ac:dyDescent="0.3">
      <c r="A19" s="18" t="s">
        <v>363</v>
      </c>
      <c r="B19" s="11"/>
      <c r="C19" s="9" t="s">
        <v>355</v>
      </c>
      <c r="D19" s="16">
        <v>76375</v>
      </c>
      <c r="E19" s="16"/>
      <c r="F19" s="129">
        <f>+SUM(F20:F29)</f>
        <v>45909</v>
      </c>
      <c r="G19" s="16"/>
    </row>
    <row r="20" spans="1:7" x14ac:dyDescent="0.3">
      <c r="A20" s="17" t="s">
        <v>364</v>
      </c>
      <c r="B20" s="6" t="str">
        <f>MID(A20,2,2)</f>
        <v>10</v>
      </c>
      <c r="C20" s="6" t="s">
        <v>355</v>
      </c>
      <c r="D20" s="8">
        <v>5506</v>
      </c>
      <c r="E20" s="8"/>
      <c r="F20" s="8">
        <v>0</v>
      </c>
      <c r="G20" s="8"/>
    </row>
    <row r="21" spans="1:7" x14ac:dyDescent="0.3">
      <c r="A21" s="17" t="s">
        <v>365</v>
      </c>
      <c r="B21" s="6" t="str">
        <f t="shared" ref="B21:B29" si="0">MID(A21,2,2)</f>
        <v>11</v>
      </c>
      <c r="C21" s="6" t="s">
        <v>355</v>
      </c>
      <c r="D21" s="8">
        <v>2271</v>
      </c>
      <c r="E21" s="8"/>
      <c r="F21" s="8">
        <v>675</v>
      </c>
      <c r="G21" s="8"/>
    </row>
    <row r="22" spans="1:7" x14ac:dyDescent="0.3">
      <c r="A22" s="17" t="s">
        <v>366</v>
      </c>
      <c r="B22" s="6" t="str">
        <f t="shared" si="0"/>
        <v>12</v>
      </c>
      <c r="C22" s="6" t="s">
        <v>355</v>
      </c>
      <c r="D22" s="8">
        <v>3305</v>
      </c>
      <c r="E22" s="8"/>
      <c r="F22" s="8">
        <v>1455</v>
      </c>
      <c r="G22" s="8"/>
    </row>
    <row r="23" spans="1:7" x14ac:dyDescent="0.3">
      <c r="A23" s="17" t="s">
        <v>367</v>
      </c>
      <c r="B23" s="6" t="str">
        <f t="shared" si="0"/>
        <v>13</v>
      </c>
      <c r="C23" s="6" t="s">
        <v>355</v>
      </c>
      <c r="D23" s="8">
        <v>9981</v>
      </c>
      <c r="E23" s="8"/>
      <c r="F23" s="8">
        <v>3225</v>
      </c>
      <c r="G23" s="8"/>
    </row>
    <row r="24" spans="1:7" x14ac:dyDescent="0.3">
      <c r="A24" s="17" t="s">
        <v>368</v>
      </c>
      <c r="B24" s="6" t="str">
        <f t="shared" si="0"/>
        <v>14</v>
      </c>
      <c r="C24" s="6" t="s">
        <v>355</v>
      </c>
      <c r="D24" s="8">
        <v>44029</v>
      </c>
      <c r="E24" s="8"/>
      <c r="F24" s="8">
        <v>34700</v>
      </c>
      <c r="G24" s="8"/>
    </row>
    <row r="25" spans="1:7" x14ac:dyDescent="0.3">
      <c r="A25" s="17" t="s">
        <v>369</v>
      </c>
      <c r="B25" s="6" t="str">
        <f t="shared" si="0"/>
        <v>15</v>
      </c>
      <c r="C25" s="6" t="s">
        <v>355</v>
      </c>
      <c r="D25" s="8">
        <v>1053</v>
      </c>
      <c r="E25" s="8"/>
      <c r="F25" s="8">
        <v>1417</v>
      </c>
      <c r="G25" s="8"/>
    </row>
    <row r="26" spans="1:7" x14ac:dyDescent="0.3">
      <c r="A26" s="17" t="s">
        <v>370</v>
      </c>
      <c r="B26" s="6" t="str">
        <f t="shared" si="0"/>
        <v>16</v>
      </c>
      <c r="C26" s="6" t="s">
        <v>355</v>
      </c>
      <c r="D26" s="8">
        <v>2247</v>
      </c>
      <c r="E26" s="8"/>
      <c r="F26" s="8">
        <v>1338</v>
      </c>
      <c r="G26" s="8"/>
    </row>
    <row r="27" spans="1:7" x14ac:dyDescent="0.3">
      <c r="A27" s="17" t="s">
        <v>371</v>
      </c>
      <c r="B27" s="6" t="str">
        <f t="shared" si="0"/>
        <v>17</v>
      </c>
      <c r="C27" s="6" t="s">
        <v>355</v>
      </c>
      <c r="D27" s="8">
        <v>2475</v>
      </c>
      <c r="E27" s="8"/>
      <c r="F27" s="8">
        <v>541</v>
      </c>
      <c r="G27" s="8"/>
    </row>
    <row r="28" spans="1:7" x14ac:dyDescent="0.3">
      <c r="A28" s="17" t="s">
        <v>372</v>
      </c>
      <c r="B28" s="6" t="str">
        <f t="shared" si="0"/>
        <v>18</v>
      </c>
      <c r="C28" s="6" t="s">
        <v>355</v>
      </c>
      <c r="D28" s="8">
        <v>0</v>
      </c>
      <c r="E28" s="8"/>
      <c r="F28" s="8">
        <v>24</v>
      </c>
      <c r="G28" s="8"/>
    </row>
    <row r="29" spans="1:7" x14ac:dyDescent="0.3">
      <c r="A29" s="17" t="s">
        <v>373</v>
      </c>
      <c r="B29" s="6" t="str">
        <f t="shared" si="0"/>
        <v>19</v>
      </c>
      <c r="C29" s="6" t="s">
        <v>355</v>
      </c>
      <c r="D29" s="8">
        <v>5510</v>
      </c>
      <c r="E29" s="8"/>
      <c r="F29" s="8">
        <v>2534</v>
      </c>
      <c r="G29" s="8"/>
    </row>
    <row r="30" spans="1:7" x14ac:dyDescent="0.3">
      <c r="A30" s="18" t="s">
        <v>374</v>
      </c>
      <c r="B30" s="11"/>
      <c r="C30" s="9" t="s">
        <v>355</v>
      </c>
      <c r="D30" s="16">
        <v>524</v>
      </c>
      <c r="E30" s="16"/>
      <c r="F30" s="129">
        <f>+F31</f>
        <v>344</v>
      </c>
      <c r="G30" s="16"/>
    </row>
    <row r="31" spans="1:7" x14ac:dyDescent="0.3">
      <c r="A31" s="17" t="s">
        <v>375</v>
      </c>
      <c r="B31" s="6" t="str">
        <f>MID(A31,2,2)</f>
        <v>20</v>
      </c>
      <c r="C31" s="6" t="s">
        <v>355</v>
      </c>
      <c r="D31" s="8">
        <v>524</v>
      </c>
      <c r="E31" s="8"/>
      <c r="F31" s="8">
        <v>344</v>
      </c>
      <c r="G31" s="8"/>
    </row>
    <row r="32" spans="1:7" x14ac:dyDescent="0.3">
      <c r="A32" s="18" t="s">
        <v>376</v>
      </c>
      <c r="B32" s="11"/>
      <c r="C32" s="9" t="s">
        <v>355</v>
      </c>
      <c r="D32" s="16">
        <v>868</v>
      </c>
      <c r="E32" s="16"/>
      <c r="F32" s="129">
        <f>+F33</f>
        <v>1010</v>
      </c>
      <c r="G32" s="16"/>
    </row>
    <row r="33" spans="1:7" x14ac:dyDescent="0.3">
      <c r="A33" s="17" t="s">
        <v>377</v>
      </c>
      <c r="B33" s="6" t="str">
        <f>MID(A33,2,2)</f>
        <v>30</v>
      </c>
      <c r="C33" s="6" t="s">
        <v>355</v>
      </c>
      <c r="D33" s="8">
        <v>868</v>
      </c>
      <c r="E33" s="8"/>
      <c r="F33" s="8">
        <v>1010</v>
      </c>
      <c r="G33" s="8"/>
    </row>
    <row r="34" spans="1:7" x14ac:dyDescent="0.3">
      <c r="A34" s="18" t="s">
        <v>378</v>
      </c>
      <c r="B34" s="11"/>
      <c r="C34" s="9" t="s">
        <v>355</v>
      </c>
      <c r="D34" s="16">
        <v>667</v>
      </c>
      <c r="E34" s="16"/>
      <c r="F34" s="129">
        <f>+SUM(F35:F37)</f>
        <v>856</v>
      </c>
      <c r="G34" s="16"/>
    </row>
    <row r="35" spans="1:7" x14ac:dyDescent="0.3">
      <c r="A35" s="17" t="s">
        <v>379</v>
      </c>
      <c r="B35" s="6" t="str">
        <f t="shared" ref="B35:B39" si="1">MID(A35,2,2)</f>
        <v>40</v>
      </c>
      <c r="C35" s="6" t="s">
        <v>355</v>
      </c>
      <c r="D35" s="8">
        <v>0</v>
      </c>
      <c r="E35" s="8"/>
      <c r="F35" s="8">
        <v>0</v>
      </c>
      <c r="G35" s="8"/>
    </row>
    <row r="36" spans="1:7" x14ac:dyDescent="0.3">
      <c r="A36" s="17" t="s">
        <v>380</v>
      </c>
      <c r="B36" s="6" t="str">
        <f t="shared" si="1"/>
        <v>41</v>
      </c>
      <c r="C36" s="6" t="s">
        <v>355</v>
      </c>
      <c r="D36" s="8">
        <v>386</v>
      </c>
      <c r="E36" s="8"/>
      <c r="F36" s="8">
        <v>634</v>
      </c>
      <c r="G36" s="8"/>
    </row>
    <row r="37" spans="1:7" x14ac:dyDescent="0.3">
      <c r="A37" s="17" t="s">
        <v>381</v>
      </c>
      <c r="B37" s="6" t="str">
        <f t="shared" si="1"/>
        <v>42</v>
      </c>
      <c r="C37" s="6" t="s">
        <v>355</v>
      </c>
      <c r="D37" s="8">
        <v>281</v>
      </c>
      <c r="E37" s="8"/>
      <c r="F37" s="8">
        <v>222</v>
      </c>
      <c r="G37" s="8"/>
    </row>
    <row r="38" spans="1:7" x14ac:dyDescent="0.3">
      <c r="A38" s="18" t="s">
        <v>382</v>
      </c>
      <c r="B38" s="11"/>
      <c r="C38" s="9" t="s">
        <v>355</v>
      </c>
      <c r="D38" s="16">
        <v>7796</v>
      </c>
      <c r="E38" s="16"/>
      <c r="F38" s="129">
        <f>+SUM(F39:F41)</f>
        <v>4796</v>
      </c>
      <c r="G38" s="16"/>
    </row>
    <row r="39" spans="1:7" x14ac:dyDescent="0.3">
      <c r="A39" s="17" t="s">
        <v>383</v>
      </c>
      <c r="B39" s="6" t="str">
        <f t="shared" si="1"/>
        <v>50</v>
      </c>
      <c r="C39" s="6" t="s">
        <v>355</v>
      </c>
      <c r="D39" s="8">
        <v>201</v>
      </c>
      <c r="E39" s="8"/>
      <c r="F39" s="8">
        <v>0</v>
      </c>
      <c r="G39" s="16"/>
    </row>
    <row r="40" spans="1:7" x14ac:dyDescent="0.3">
      <c r="A40" s="17" t="s">
        <v>384</v>
      </c>
      <c r="B40" s="6" t="str">
        <f t="shared" ref="B40:B41" si="2">MID(A40,2,2)</f>
        <v>51</v>
      </c>
      <c r="C40" s="6" t="s">
        <v>355</v>
      </c>
      <c r="D40" s="8">
        <v>2033</v>
      </c>
      <c r="E40" s="8"/>
      <c r="F40" s="8">
        <v>272</v>
      </c>
      <c r="G40" s="8"/>
    </row>
    <row r="41" spans="1:7" x14ac:dyDescent="0.3">
      <c r="A41" s="17" t="s">
        <v>385</v>
      </c>
      <c r="B41" s="6" t="str">
        <f t="shared" si="2"/>
        <v>52</v>
      </c>
      <c r="C41" s="6" t="s">
        <v>355</v>
      </c>
      <c r="D41" s="8">
        <v>5763</v>
      </c>
      <c r="E41" s="8"/>
      <c r="F41" s="8">
        <v>4524</v>
      </c>
      <c r="G41" s="8"/>
    </row>
    <row r="42" spans="1:7" x14ac:dyDescent="0.3">
      <c r="A42" s="18" t="s">
        <v>386</v>
      </c>
      <c r="B42" s="11"/>
      <c r="C42" s="9" t="s">
        <v>355</v>
      </c>
      <c r="D42" s="16"/>
      <c r="E42" s="16">
        <v>49846</v>
      </c>
      <c r="F42" s="16"/>
      <c r="G42" s="16">
        <f>+SUM(G43:G52)</f>
        <v>3486</v>
      </c>
    </row>
    <row r="43" spans="1:7" x14ac:dyDescent="0.3">
      <c r="A43" s="17" t="s">
        <v>387</v>
      </c>
      <c r="B43" s="6" t="str">
        <f t="shared" ref="B43:B52" si="3">MID(A43,2,2)</f>
        <v>10</v>
      </c>
      <c r="C43" s="6" t="s">
        <v>355</v>
      </c>
      <c r="D43" s="8"/>
      <c r="E43" s="8">
        <v>4253</v>
      </c>
      <c r="F43" s="8"/>
      <c r="G43" s="8">
        <v>0</v>
      </c>
    </row>
    <row r="44" spans="1:7" x14ac:dyDescent="0.3">
      <c r="A44" s="17" t="s">
        <v>388</v>
      </c>
      <c r="B44" s="6" t="str">
        <f t="shared" si="3"/>
        <v>11</v>
      </c>
      <c r="C44" s="6" t="s">
        <v>355</v>
      </c>
      <c r="D44" s="8"/>
      <c r="E44" s="8">
        <v>14352</v>
      </c>
      <c r="F44" s="8"/>
      <c r="G44" s="8">
        <v>298</v>
      </c>
    </row>
    <row r="45" spans="1:7" x14ac:dyDescent="0.3">
      <c r="A45" s="17" t="s">
        <v>389</v>
      </c>
      <c r="B45" s="6" t="str">
        <f t="shared" si="3"/>
        <v>12</v>
      </c>
      <c r="C45" s="6" t="s">
        <v>355</v>
      </c>
      <c r="D45" s="8"/>
      <c r="E45" s="8">
        <v>705</v>
      </c>
      <c r="F45" s="8"/>
      <c r="G45" s="8">
        <v>34</v>
      </c>
    </row>
    <row r="46" spans="1:7" x14ac:dyDescent="0.3">
      <c r="A46" s="17" t="s">
        <v>390</v>
      </c>
      <c r="B46" s="6" t="str">
        <f t="shared" si="3"/>
        <v>13</v>
      </c>
      <c r="C46" s="6" t="s">
        <v>355</v>
      </c>
      <c r="D46" s="8"/>
      <c r="E46" s="8">
        <v>3401</v>
      </c>
      <c r="F46" s="8"/>
      <c r="G46" s="8">
        <v>143</v>
      </c>
    </row>
    <row r="47" spans="1:7" x14ac:dyDescent="0.3">
      <c r="A47" s="17" t="s">
        <v>391</v>
      </c>
      <c r="B47" s="6" t="str">
        <f t="shared" si="3"/>
        <v>14</v>
      </c>
      <c r="C47" s="6" t="s">
        <v>355</v>
      </c>
      <c r="D47" s="8"/>
      <c r="E47" s="8">
        <v>1388</v>
      </c>
      <c r="F47" s="8"/>
      <c r="G47" s="8">
        <v>177</v>
      </c>
    </row>
    <row r="48" spans="1:7" x14ac:dyDescent="0.3">
      <c r="A48" s="17" t="s">
        <v>392</v>
      </c>
      <c r="B48" s="6" t="str">
        <f t="shared" si="3"/>
        <v>15</v>
      </c>
      <c r="C48" s="6" t="s">
        <v>355</v>
      </c>
      <c r="D48" s="8"/>
      <c r="E48" s="8">
        <v>219</v>
      </c>
      <c r="F48" s="8"/>
      <c r="G48" s="8">
        <v>32</v>
      </c>
    </row>
    <row r="49" spans="1:7" x14ac:dyDescent="0.3">
      <c r="A49" s="17" t="s">
        <v>393</v>
      </c>
      <c r="B49" s="6" t="str">
        <f t="shared" si="3"/>
        <v>16</v>
      </c>
      <c r="C49" s="6" t="s">
        <v>355</v>
      </c>
      <c r="D49" s="8"/>
      <c r="E49" s="8">
        <v>3279</v>
      </c>
      <c r="F49" s="8"/>
      <c r="G49" s="8">
        <v>109</v>
      </c>
    </row>
    <row r="50" spans="1:7" x14ac:dyDescent="0.3">
      <c r="A50" s="17" t="s">
        <v>394</v>
      </c>
      <c r="B50" s="6" t="str">
        <f t="shared" si="3"/>
        <v>17</v>
      </c>
      <c r="C50" s="6" t="s">
        <v>355</v>
      </c>
      <c r="D50" s="8"/>
      <c r="E50" s="8">
        <v>14693</v>
      </c>
      <c r="F50" s="8"/>
      <c r="G50" s="8">
        <v>1907</v>
      </c>
    </row>
    <row r="51" spans="1:7" x14ac:dyDescent="0.3">
      <c r="A51" s="17" t="s">
        <v>395</v>
      </c>
      <c r="B51" s="6" t="str">
        <f t="shared" si="3"/>
        <v>18</v>
      </c>
      <c r="C51" s="6" t="s">
        <v>355</v>
      </c>
      <c r="D51" s="8"/>
      <c r="E51" s="8">
        <v>1860</v>
      </c>
      <c r="F51" s="8"/>
      <c r="G51" s="8">
        <v>135</v>
      </c>
    </row>
    <row r="52" spans="1:7" x14ac:dyDescent="0.3">
      <c r="A52" s="17" t="s">
        <v>396</v>
      </c>
      <c r="B52" s="6" t="str">
        <f t="shared" si="3"/>
        <v>19</v>
      </c>
      <c r="C52" s="6" t="s">
        <v>355</v>
      </c>
      <c r="D52" s="8"/>
      <c r="E52" s="8">
        <v>5694</v>
      </c>
      <c r="F52" s="8"/>
      <c r="G52" s="8">
        <v>651</v>
      </c>
    </row>
    <row r="53" spans="1:7" x14ac:dyDescent="0.3">
      <c r="A53" s="18" t="s">
        <v>397</v>
      </c>
      <c r="B53" s="11"/>
      <c r="C53" s="9" t="s">
        <v>355</v>
      </c>
      <c r="D53" s="16"/>
      <c r="E53" s="16">
        <v>12199</v>
      </c>
      <c r="F53" s="16"/>
      <c r="G53" s="16">
        <f>+SUM(G54:G55)</f>
        <v>2198</v>
      </c>
    </row>
    <row r="54" spans="1:7" x14ac:dyDescent="0.3">
      <c r="A54" s="17" t="s">
        <v>398</v>
      </c>
      <c r="B54" s="6" t="str">
        <f t="shared" ref="B54:B55" si="4">MID(A54,2,2)</f>
        <v>41</v>
      </c>
      <c r="C54" s="6" t="s">
        <v>355</v>
      </c>
      <c r="D54" s="8"/>
      <c r="E54" s="8">
        <v>2519</v>
      </c>
      <c r="F54" s="8"/>
      <c r="G54" s="8">
        <v>261</v>
      </c>
    </row>
    <row r="55" spans="1:7" x14ac:dyDescent="0.3">
      <c r="A55" s="17" t="s">
        <v>399</v>
      </c>
      <c r="B55" s="6" t="str">
        <f t="shared" si="4"/>
        <v>49</v>
      </c>
      <c r="C55" s="6" t="s">
        <v>355</v>
      </c>
      <c r="D55" s="8"/>
      <c r="E55" s="8">
        <v>9679</v>
      </c>
      <c r="F55" s="8"/>
      <c r="G55" s="8">
        <v>1937</v>
      </c>
    </row>
    <row r="56" spans="1:7" x14ac:dyDescent="0.3">
      <c r="A56" s="18" t="s">
        <v>400</v>
      </c>
      <c r="B56" s="11"/>
      <c r="C56" s="9" t="s">
        <v>355</v>
      </c>
      <c r="D56" s="16"/>
      <c r="E56" s="16">
        <v>4837</v>
      </c>
      <c r="F56" s="16"/>
      <c r="G56" s="16">
        <f>+SUM(G57:G59)</f>
        <v>246</v>
      </c>
    </row>
    <row r="57" spans="1:7" x14ac:dyDescent="0.3">
      <c r="A57" s="17" t="s">
        <v>401</v>
      </c>
      <c r="B57" s="6" t="str">
        <f t="shared" ref="B57:B59" si="5">MID(A57,2,2)</f>
        <v>50</v>
      </c>
      <c r="C57" s="6" t="s">
        <v>355</v>
      </c>
      <c r="D57" s="8"/>
      <c r="E57" s="8">
        <v>441</v>
      </c>
      <c r="F57" s="8"/>
      <c r="G57" s="8">
        <v>0</v>
      </c>
    </row>
    <row r="58" spans="1:7" x14ac:dyDescent="0.3">
      <c r="A58" s="17" t="s">
        <v>402</v>
      </c>
      <c r="B58" s="6" t="str">
        <f t="shared" si="5"/>
        <v>51</v>
      </c>
      <c r="C58" s="6" t="s">
        <v>355</v>
      </c>
      <c r="D58" s="8"/>
      <c r="E58" s="8">
        <v>1037</v>
      </c>
      <c r="F58" s="8"/>
      <c r="G58" s="8">
        <v>43</v>
      </c>
    </row>
    <row r="59" spans="1:7" x14ac:dyDescent="0.3">
      <c r="A59" s="17" t="s">
        <v>403</v>
      </c>
      <c r="B59" s="6" t="str">
        <f t="shared" si="5"/>
        <v>52</v>
      </c>
      <c r="C59" s="6" t="s">
        <v>355</v>
      </c>
      <c r="D59" s="8"/>
      <c r="E59" s="8">
        <v>3359</v>
      </c>
      <c r="F59" s="8"/>
      <c r="G59" s="8">
        <v>203</v>
      </c>
    </row>
    <row r="60" spans="1:7" x14ac:dyDescent="0.3">
      <c r="A60" s="6" t="s">
        <v>358</v>
      </c>
      <c r="B60" s="6"/>
      <c r="C60" s="6"/>
      <c r="D60" s="6" t="s">
        <v>418</v>
      </c>
      <c r="E60" s="6" t="s">
        <v>418</v>
      </c>
      <c r="F60" s="6" t="s">
        <v>433</v>
      </c>
      <c r="G60" s="6" t="s">
        <v>433</v>
      </c>
    </row>
    <row r="61" spans="1:7" x14ac:dyDescent="0.3">
      <c r="A61" s="11" t="s">
        <v>418</v>
      </c>
      <c r="B61" s="11"/>
      <c r="C61" s="11" t="s">
        <v>359</v>
      </c>
      <c r="D61" s="11"/>
      <c r="E61" s="11"/>
      <c r="F61" s="11"/>
      <c r="G61" s="11"/>
    </row>
    <row r="62" spans="1:7" x14ac:dyDescent="0.3">
      <c r="A62" s="11" t="s">
        <v>435</v>
      </c>
      <c r="B62" s="11"/>
      <c r="C62" s="11" t="s">
        <v>434</v>
      </c>
      <c r="D62" s="11"/>
      <c r="E62" s="11"/>
      <c r="F62" s="11"/>
      <c r="G62" s="11"/>
    </row>
    <row r="63" spans="1:7" x14ac:dyDescent="0.3">
      <c r="A63" s="12" t="s">
        <v>420</v>
      </c>
      <c r="B63" s="13"/>
      <c r="C63" s="13"/>
      <c r="D63" s="13"/>
      <c r="E63" s="13"/>
      <c r="F63" s="13"/>
      <c r="G63" s="13"/>
    </row>
    <row r="64" spans="1:7" x14ac:dyDescent="0.3">
      <c r="A64" s="13" t="s">
        <v>436</v>
      </c>
      <c r="B64" s="13"/>
      <c r="C64" s="13"/>
      <c r="D64" s="13"/>
      <c r="E64" s="13"/>
      <c r="F64" s="13"/>
      <c r="G64" s="13"/>
    </row>
  </sheetData>
  <conditionalFormatting sqref="A2:G2 A4:G9 A3:C3 B10 D10:G11">
    <cfRule type="expression" dxfId="17" priority="20">
      <formula>MOD(ROW(),2)=0</formula>
    </cfRule>
  </conditionalFormatting>
  <conditionalFormatting sqref="B15:C16 A17:E59">
    <cfRule type="expression" dxfId="16" priority="19">
      <formula>MOD(ROW(),2)=0</formula>
    </cfRule>
  </conditionalFormatting>
  <conditionalFormatting sqref="A60:E60 E61:G62">
    <cfRule type="expression" dxfId="15" priority="18">
      <formula>MOD(ROW(),2)=0</formula>
    </cfRule>
  </conditionalFormatting>
  <conditionalFormatting sqref="A15:A16">
    <cfRule type="expression" dxfId="14" priority="17">
      <formula>MOD(ROW(),2)=0</formula>
    </cfRule>
  </conditionalFormatting>
  <conditionalFormatting sqref="D15 F15:G15">
    <cfRule type="expression" dxfId="13" priority="16">
      <formula>MOD(ROW(),2)=0</formula>
    </cfRule>
  </conditionalFormatting>
  <conditionalFormatting sqref="F17:G59">
    <cfRule type="expression" dxfId="12" priority="14">
      <formula>MOD(ROW(),2)=0</formula>
    </cfRule>
  </conditionalFormatting>
  <conditionalFormatting sqref="D62 A61:D61">
    <cfRule type="expression" dxfId="11" priority="13">
      <formula>MOD(ROW(),2)=0</formula>
    </cfRule>
  </conditionalFormatting>
  <conditionalFormatting sqref="E15">
    <cfRule type="expression" dxfId="10" priority="11">
      <formula>MOD(ROW(),2)=0</formula>
    </cfRule>
  </conditionalFormatting>
  <conditionalFormatting sqref="A10">
    <cfRule type="expression" dxfId="9" priority="10">
      <formula>MOD(ROW(),2)=0</formula>
    </cfRule>
  </conditionalFormatting>
  <conditionalFormatting sqref="C10">
    <cfRule type="expression" dxfId="8" priority="9">
      <formula>MOD(ROW(),2)=0</formula>
    </cfRule>
  </conditionalFormatting>
  <conditionalFormatting sqref="B62">
    <cfRule type="expression" dxfId="6" priority="7">
      <formula>MOD(ROW(),2)=0</formula>
    </cfRule>
  </conditionalFormatting>
  <conditionalFormatting sqref="A62">
    <cfRule type="expression" dxfId="5" priority="6">
      <formula>MOD(ROW(),2)=0</formula>
    </cfRule>
  </conditionalFormatting>
  <conditionalFormatting sqref="C62">
    <cfRule type="expression" dxfId="4" priority="5">
      <formula>MOD(ROW(),2)=0</formula>
    </cfRule>
  </conditionalFormatting>
  <conditionalFormatting sqref="F60:G60">
    <cfRule type="expression" dxfId="3" priority="4">
      <formula>MOD(ROW(),2)=0</formula>
    </cfRule>
  </conditionalFormatting>
  <conditionalFormatting sqref="B11">
    <cfRule type="expression" dxfId="2" priority="3">
      <formula>MOD(ROW(),2)=0</formula>
    </cfRule>
  </conditionalFormatting>
  <conditionalFormatting sqref="A11">
    <cfRule type="expression" dxfId="1" priority="2">
      <formula>MOD(ROW(),2)=0</formula>
    </cfRule>
  </conditionalFormatting>
  <conditionalFormatting sqref="C11">
    <cfRule type="expression" dxfId="0" priority="1">
      <formula>MOD(ROW(),2)=0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EB13E-9505-428A-815F-CF72F344CB49}">
  <dimension ref="A1:A24"/>
  <sheetViews>
    <sheetView workbookViewId="0"/>
  </sheetViews>
  <sheetFormatPr defaultRowHeight="14.4" x14ac:dyDescent="0.3"/>
  <sheetData>
    <row r="1" spans="1:1" x14ac:dyDescent="0.3">
      <c r="A1" s="13" t="s">
        <v>267</v>
      </c>
    </row>
    <row r="2" spans="1:1" x14ac:dyDescent="0.3">
      <c r="A2" s="13" t="s">
        <v>404</v>
      </c>
    </row>
    <row r="3" spans="1:1" x14ac:dyDescent="0.3">
      <c r="A3" s="13" t="s">
        <v>405</v>
      </c>
    </row>
    <row r="4" spans="1:1" x14ac:dyDescent="0.3">
      <c r="A4" s="13" t="s">
        <v>177</v>
      </c>
    </row>
    <row r="5" spans="1:1" x14ac:dyDescent="0.3">
      <c r="A5" s="13" t="s">
        <v>68</v>
      </c>
    </row>
    <row r="6" spans="1:1" x14ac:dyDescent="0.3">
      <c r="A6" s="13" t="s">
        <v>178</v>
      </c>
    </row>
    <row r="7" spans="1:1" x14ac:dyDescent="0.3">
      <c r="A7" s="13" t="s">
        <v>291</v>
      </c>
    </row>
    <row r="8" spans="1:1" x14ac:dyDescent="0.3">
      <c r="A8" s="13" t="s">
        <v>340</v>
      </c>
    </row>
    <row r="9" spans="1:1" x14ac:dyDescent="0.3">
      <c r="A9" s="13" t="s">
        <v>341</v>
      </c>
    </row>
    <row r="10" spans="1:1" x14ac:dyDescent="0.3">
      <c r="A10" s="13" t="s">
        <v>406</v>
      </c>
    </row>
    <row r="11" spans="1:1" x14ac:dyDescent="0.3">
      <c r="A11" s="13" t="s">
        <v>102</v>
      </c>
    </row>
    <row r="12" spans="1:1" x14ac:dyDescent="0.3">
      <c r="A12" s="13" t="s">
        <v>290</v>
      </c>
    </row>
    <row r="13" spans="1:1" x14ac:dyDescent="0.3">
      <c r="A13" s="12" t="s">
        <v>422</v>
      </c>
    </row>
    <row r="14" spans="1:1" x14ac:dyDescent="0.3">
      <c r="A14" s="13" t="s">
        <v>421</v>
      </c>
    </row>
    <row r="15" spans="1:1" x14ac:dyDescent="0.3">
      <c r="A15" s="13" t="s">
        <v>69</v>
      </c>
    </row>
    <row r="16" spans="1:1" x14ac:dyDescent="0.3">
      <c r="A16" s="13" t="s">
        <v>269</v>
      </c>
    </row>
    <row r="17" spans="1:1" x14ac:dyDescent="0.3">
      <c r="A17" s="13" t="s">
        <v>129</v>
      </c>
    </row>
    <row r="18" spans="1:1" x14ac:dyDescent="0.3">
      <c r="A18" s="13" t="s">
        <v>213</v>
      </c>
    </row>
    <row r="19" spans="1:1" x14ac:dyDescent="0.3">
      <c r="A19" s="13" t="s">
        <v>423</v>
      </c>
    </row>
    <row r="20" spans="1:1" x14ac:dyDescent="0.3">
      <c r="A20" s="13" t="s">
        <v>292</v>
      </c>
    </row>
    <row r="21" spans="1:1" x14ac:dyDescent="0.3">
      <c r="A21" s="13" t="s">
        <v>228</v>
      </c>
    </row>
    <row r="22" spans="1:1" x14ac:dyDescent="0.3">
      <c r="A22" s="13" t="s">
        <v>130</v>
      </c>
    </row>
    <row r="23" spans="1:1" x14ac:dyDescent="0.3">
      <c r="A23" s="13" t="s">
        <v>424</v>
      </c>
    </row>
    <row r="24" spans="1:1" x14ac:dyDescent="0.3">
      <c r="A24" s="27" t="s">
        <v>407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9317-CADC-41BC-8515-B4C82B609F69}">
  <dimension ref="A1:M22"/>
  <sheetViews>
    <sheetView workbookViewId="0"/>
  </sheetViews>
  <sheetFormatPr defaultRowHeight="14.4" x14ac:dyDescent="0.3"/>
  <cols>
    <col min="1" max="1" width="25.33203125" customWidth="1"/>
    <col min="2" max="2" width="11.5546875" bestFit="1" customWidth="1"/>
    <col min="3" max="3" width="9.88671875" bestFit="1" customWidth="1"/>
    <col min="4" max="8" width="10.109375" customWidth="1"/>
    <col min="9" max="11" width="11.6640625" customWidth="1"/>
    <col min="12" max="12" width="24" bestFit="1" customWidth="1"/>
  </cols>
  <sheetData>
    <row r="1" spans="1:13" x14ac:dyDescent="0.3">
      <c r="A1" s="122" t="s">
        <v>10</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ht="14.25" customHeight="1" x14ac:dyDescent="0.3">
      <c r="A3" s="98" t="s">
        <v>45</v>
      </c>
      <c r="B3" s="78"/>
      <c r="C3" s="97" t="s">
        <v>46</v>
      </c>
      <c r="D3" s="80">
        <v>600.77303170000005</v>
      </c>
      <c r="E3" s="80">
        <v>340.18225279000001</v>
      </c>
      <c r="F3" s="80">
        <v>327.2515047</v>
      </c>
      <c r="G3" s="80">
        <v>284.46834302999997</v>
      </c>
      <c r="H3" s="80">
        <v>768.74564365297408</v>
      </c>
      <c r="I3" s="94">
        <f t="shared" ref="I3:I19" si="0">IF(ISBLANK(H3),"N/A",IF(ISNA(H3/G3-1),"N/A",IF(ISERROR(H3/G3-1),"N/A",H3/G3-1)))</f>
        <v>1.7023943524425929</v>
      </c>
      <c r="J3" s="95">
        <f t="shared" ref="J3:J19" si="1">IF(ISBLANK(H3),"",IF(ISNA(AVERAGE(D3:H3)),"N/A",IF(ISERROR(AVERAGE(D3:H3)),"N/A",AVERAGE(D3:H3))))</f>
        <v>464.28415517459479</v>
      </c>
      <c r="K3" s="94">
        <f t="shared" ref="K3:K19" si="2">IF(ISBLANK(H3),"",IF(ISNA(H3/AVERAGE(D3:H3)-1),"N/A",IF(ISERROR(H3/AVERAGE(D3:H3)-1),"N/A",H3/AVERAGE(D3:H3)-1)))</f>
        <v>0.65576540806973282</v>
      </c>
      <c r="L3" s="78" t="s">
        <v>408</v>
      </c>
      <c r="M3" s="145" t="s">
        <v>47</v>
      </c>
    </row>
    <row r="4" spans="1:13" x14ac:dyDescent="0.3">
      <c r="A4" s="98" t="s">
        <v>48</v>
      </c>
      <c r="B4" s="88"/>
      <c r="C4" s="99" t="s">
        <v>49</v>
      </c>
      <c r="D4" s="105">
        <v>1056.3789999999999</v>
      </c>
      <c r="E4" s="105">
        <v>763.47</v>
      </c>
      <c r="F4" s="105">
        <v>667.93100000000004</v>
      </c>
      <c r="G4" s="105">
        <v>885.40300000000002</v>
      </c>
      <c r="H4" s="105">
        <v>950</v>
      </c>
      <c r="I4" s="94">
        <f t="shared" si="0"/>
        <v>7.2957737888848406E-2</v>
      </c>
      <c r="J4" s="95">
        <f t="shared" si="1"/>
        <v>864.63660000000004</v>
      </c>
      <c r="K4" s="94">
        <f t="shared" si="2"/>
        <v>9.8727488519454232E-2</v>
      </c>
      <c r="L4" s="78" t="s">
        <v>57</v>
      </c>
      <c r="M4" s="97" t="s">
        <v>50</v>
      </c>
    </row>
    <row r="5" spans="1:13" x14ac:dyDescent="0.3">
      <c r="A5" s="98" t="s">
        <v>51</v>
      </c>
      <c r="B5" s="88"/>
      <c r="C5" s="97" t="s">
        <v>52</v>
      </c>
      <c r="D5" s="86">
        <f>+D6/D4</f>
        <v>2.6809734006450339</v>
      </c>
      <c r="E5" s="86">
        <f>+E6/E4</f>
        <v>1.7088333529804707</v>
      </c>
      <c r="F5" s="86">
        <f>+F6/F4</f>
        <v>1.3610522643806022</v>
      </c>
      <c r="G5" s="86">
        <f>+G6/G4</f>
        <v>1.0348959739237387</v>
      </c>
      <c r="H5" s="86">
        <f>+H6/H4</f>
        <v>3.4</v>
      </c>
      <c r="I5" s="94">
        <f t="shared" si="0"/>
        <v>2.2853543599257886</v>
      </c>
      <c r="J5" s="95">
        <f t="shared" si="1"/>
        <v>2.037150998385969</v>
      </c>
      <c r="K5" s="94">
        <f t="shared" si="2"/>
        <v>0.66899753758745106</v>
      </c>
      <c r="L5" s="78" t="s">
        <v>57</v>
      </c>
      <c r="M5" s="97" t="s">
        <v>50</v>
      </c>
    </row>
    <row r="6" spans="1:13" x14ac:dyDescent="0.3">
      <c r="A6" s="98" t="s">
        <v>53</v>
      </c>
      <c r="B6" s="78"/>
      <c r="C6" s="99" t="s">
        <v>54</v>
      </c>
      <c r="D6" s="105">
        <v>2832.1239999999998</v>
      </c>
      <c r="E6" s="105">
        <v>1304.643</v>
      </c>
      <c r="F6" s="105">
        <v>909.08900000000006</v>
      </c>
      <c r="G6" s="105">
        <v>916.3</v>
      </c>
      <c r="H6" s="105">
        <v>3230</v>
      </c>
      <c r="I6" s="94">
        <f t="shared" si="0"/>
        <v>2.5250463821892395</v>
      </c>
      <c r="J6" s="95">
        <f t="shared" si="1"/>
        <v>1838.4311999999998</v>
      </c>
      <c r="K6" s="94">
        <f t="shared" si="2"/>
        <v>0.7569327587564878</v>
      </c>
      <c r="L6" s="78" t="s">
        <v>57</v>
      </c>
      <c r="M6" s="97" t="s">
        <v>50</v>
      </c>
    </row>
    <row r="7" spans="1:13" x14ac:dyDescent="0.3">
      <c r="A7" s="98" t="s">
        <v>55</v>
      </c>
      <c r="B7" s="78"/>
      <c r="C7" s="97" t="s">
        <v>56</v>
      </c>
      <c r="D7" s="80">
        <v>196.78800000000001</v>
      </c>
      <c r="E7" s="80">
        <v>246.46299999999999</v>
      </c>
      <c r="F7" s="80">
        <v>341.726</v>
      </c>
      <c r="G7" s="80">
        <v>296.86599999999999</v>
      </c>
      <c r="H7" s="80">
        <v>236.15600000000001</v>
      </c>
      <c r="I7" s="94">
        <f t="shared" si="0"/>
        <v>-0.20450304177642431</v>
      </c>
      <c r="J7" s="95">
        <f t="shared" si="1"/>
        <v>263.59979999999996</v>
      </c>
      <c r="K7" s="94">
        <f t="shared" si="2"/>
        <v>-0.10411161161730764</v>
      </c>
      <c r="L7" s="106" t="s">
        <v>409</v>
      </c>
      <c r="M7" s="97" t="s">
        <v>58</v>
      </c>
    </row>
    <row r="8" spans="1:13" x14ac:dyDescent="0.3">
      <c r="A8" s="155" t="s">
        <v>70</v>
      </c>
      <c r="B8" s="78" t="s">
        <v>60</v>
      </c>
      <c r="C8" s="97" t="s">
        <v>46</v>
      </c>
      <c r="D8" s="80">
        <v>7.6761999999999997E-2</v>
      </c>
      <c r="E8" s="80">
        <v>0</v>
      </c>
      <c r="F8" s="80">
        <v>0.21820300000000001</v>
      </c>
      <c r="G8" s="80">
        <v>0.50099199999999999</v>
      </c>
      <c r="H8" s="80">
        <v>48.929844000000003</v>
      </c>
      <c r="I8" s="94">
        <f t="shared" ref="I8:I13" si="3">IF(ISBLANK(H8),"N/A",IF(ISNA(H8/G8-1),"N/A",IF(ISERROR(H8/G8-1),"N/A",H8/G8-1)))</f>
        <v>96.665918817066952</v>
      </c>
      <c r="J8" s="95">
        <f t="shared" ref="J8:J13" si="4">IF(ISBLANK(H8),"",IF(ISNA(AVERAGE(D8:H8)),"N/A",IF(ISERROR(AVERAGE(D8:H8)),"N/A",AVERAGE(D8:H8))))</f>
        <v>9.9451602000000001</v>
      </c>
      <c r="K8" s="94">
        <f t="shared" ref="K8:K13" si="5">IF(ISBLANK(H8),"",IF(ISNA(H8/AVERAGE(D8:H8)-1),"N/A",IF(ISERROR(H8/AVERAGE(D8:H8)-1),"N/A",H8/AVERAGE(D8:H8)-1)))</f>
        <v>3.9199653918093746</v>
      </c>
      <c r="L8" s="78" t="s">
        <v>61</v>
      </c>
      <c r="M8" s="97" t="s">
        <v>62</v>
      </c>
    </row>
    <row r="9" spans="1:13" x14ac:dyDescent="0.3">
      <c r="A9" s="155"/>
      <c r="B9" s="78" t="s">
        <v>71</v>
      </c>
      <c r="C9" s="97" t="s">
        <v>46</v>
      </c>
      <c r="D9" s="80">
        <v>0</v>
      </c>
      <c r="E9" s="80">
        <v>0</v>
      </c>
      <c r="F9" s="80">
        <v>0</v>
      </c>
      <c r="G9" s="80">
        <v>0</v>
      </c>
      <c r="H9" s="80">
        <v>23.701777</v>
      </c>
      <c r="I9" s="94" t="str">
        <f t="shared" si="3"/>
        <v>N/A</v>
      </c>
      <c r="J9" s="95">
        <f t="shared" si="4"/>
        <v>4.7403554000000003</v>
      </c>
      <c r="K9" s="94">
        <f t="shared" si="5"/>
        <v>4</v>
      </c>
      <c r="L9" s="78" t="s">
        <v>61</v>
      </c>
      <c r="M9" s="97" t="s">
        <v>62</v>
      </c>
    </row>
    <row r="10" spans="1:13" x14ac:dyDescent="0.3">
      <c r="A10" s="155"/>
      <c r="B10" s="78" t="s">
        <v>72</v>
      </c>
      <c r="C10" s="97" t="s">
        <v>46</v>
      </c>
      <c r="D10" s="80">
        <v>0</v>
      </c>
      <c r="E10" s="80">
        <v>0</v>
      </c>
      <c r="F10" s="80">
        <v>0</v>
      </c>
      <c r="G10" s="80">
        <v>0</v>
      </c>
      <c r="H10" s="80">
        <v>7.5123930000000003</v>
      </c>
      <c r="I10" s="94" t="str">
        <f t="shared" si="3"/>
        <v>N/A</v>
      </c>
      <c r="J10" s="95">
        <f t="shared" si="4"/>
        <v>1.5024786000000001</v>
      </c>
      <c r="K10" s="94">
        <f t="shared" si="5"/>
        <v>4</v>
      </c>
      <c r="L10" s="78" t="s">
        <v>61</v>
      </c>
      <c r="M10" s="97" t="s">
        <v>62</v>
      </c>
    </row>
    <row r="11" spans="1:13" x14ac:dyDescent="0.3">
      <c r="A11" s="155"/>
      <c r="B11" s="78" t="s">
        <v>73</v>
      </c>
      <c r="C11" s="97" t="s">
        <v>46</v>
      </c>
      <c r="D11" s="80">
        <v>0</v>
      </c>
      <c r="E11" s="80">
        <v>0</v>
      </c>
      <c r="F11" s="80">
        <v>0</v>
      </c>
      <c r="G11" s="80">
        <v>0.27900000000000003</v>
      </c>
      <c r="H11" s="80">
        <v>4.846241</v>
      </c>
      <c r="I11" s="94">
        <f t="shared" si="3"/>
        <v>16.370039426523295</v>
      </c>
      <c r="J11" s="95">
        <f t="shared" si="4"/>
        <v>1.0250482000000001</v>
      </c>
      <c r="K11" s="94">
        <f t="shared" si="5"/>
        <v>3.7278176772565423</v>
      </c>
      <c r="L11" s="78" t="s">
        <v>61</v>
      </c>
      <c r="M11" s="97" t="s">
        <v>62</v>
      </c>
    </row>
    <row r="12" spans="1:13" x14ac:dyDescent="0.3">
      <c r="A12" s="98" t="s">
        <v>74</v>
      </c>
      <c r="B12" s="78" t="s">
        <v>60</v>
      </c>
      <c r="C12" s="97" t="s">
        <v>46</v>
      </c>
      <c r="D12" s="80">
        <v>0.19699123999999998</v>
      </c>
      <c r="E12" s="80">
        <v>0.14982400000000001</v>
      </c>
      <c r="F12" s="80">
        <v>0.13936525</v>
      </c>
      <c r="G12" s="80">
        <v>0.12676381</v>
      </c>
      <c r="H12" s="80">
        <v>7.9234540000000006E-2</v>
      </c>
      <c r="I12" s="94">
        <f t="shared" si="3"/>
        <v>-0.3749435268630692</v>
      </c>
      <c r="J12" s="95">
        <f t="shared" si="4"/>
        <v>0.13843576799999999</v>
      </c>
      <c r="K12" s="94">
        <f t="shared" si="5"/>
        <v>-0.42764401754899062</v>
      </c>
      <c r="L12" s="78" t="s">
        <v>61</v>
      </c>
      <c r="M12" s="97" t="s">
        <v>62</v>
      </c>
    </row>
    <row r="13" spans="1:13" x14ac:dyDescent="0.3">
      <c r="A13" s="98" t="s">
        <v>67</v>
      </c>
      <c r="B13" s="78" t="s">
        <v>60</v>
      </c>
      <c r="C13" s="97" t="s">
        <v>46</v>
      </c>
      <c r="D13" s="80">
        <f>+D8-D12</f>
        <v>-0.12022923999999999</v>
      </c>
      <c r="E13" s="80">
        <f t="shared" ref="E13:H13" si="6">+E8-E12</f>
        <v>-0.14982400000000001</v>
      </c>
      <c r="F13" s="80">
        <f t="shared" si="6"/>
        <v>7.8837750000000012E-2</v>
      </c>
      <c r="G13" s="80">
        <f t="shared" si="6"/>
        <v>0.37422818999999996</v>
      </c>
      <c r="H13" s="80">
        <f t="shared" si="6"/>
        <v>48.850609460000001</v>
      </c>
      <c r="I13" s="94">
        <f t="shared" si="3"/>
        <v>129.5369578384782</v>
      </c>
      <c r="J13" s="95">
        <f t="shared" si="4"/>
        <v>9.8067244319999993</v>
      </c>
      <c r="K13" s="94">
        <f t="shared" si="5"/>
        <v>3.9813380399062899</v>
      </c>
      <c r="L13" s="78" t="s">
        <v>61</v>
      </c>
      <c r="M13" s="97" t="s">
        <v>62</v>
      </c>
    </row>
    <row r="14" spans="1:13" ht="13.95" customHeight="1" x14ac:dyDescent="0.3">
      <c r="A14" s="155" t="s">
        <v>75</v>
      </c>
      <c r="B14" s="88" t="s">
        <v>60</v>
      </c>
      <c r="C14" s="97" t="s">
        <v>46</v>
      </c>
      <c r="D14" s="80">
        <v>2106.1566899999998</v>
      </c>
      <c r="E14" s="80">
        <v>1974.793081</v>
      </c>
      <c r="F14" s="80">
        <v>1381.8322780000001</v>
      </c>
      <c r="G14" s="80">
        <v>1027.6316609999999</v>
      </c>
      <c r="H14" s="80">
        <v>1910.023441</v>
      </c>
      <c r="I14" s="94">
        <f t="shared" si="0"/>
        <v>0.85866542798159284</v>
      </c>
      <c r="J14" s="95">
        <f t="shared" si="1"/>
        <v>1680.0874301999997</v>
      </c>
      <c r="K14" s="94">
        <f t="shared" si="2"/>
        <v>0.13685955067982891</v>
      </c>
      <c r="L14" s="78" t="s">
        <v>61</v>
      </c>
      <c r="M14" s="97" t="s">
        <v>62</v>
      </c>
    </row>
    <row r="15" spans="1:13" x14ac:dyDescent="0.3">
      <c r="A15" s="155"/>
      <c r="B15" s="89" t="s">
        <v>72</v>
      </c>
      <c r="C15" s="97" t="s">
        <v>46</v>
      </c>
      <c r="D15" s="80">
        <v>174.094551</v>
      </c>
      <c r="E15" s="80">
        <v>0</v>
      </c>
      <c r="F15" s="80">
        <v>23.448276</v>
      </c>
      <c r="G15" s="80">
        <v>0</v>
      </c>
      <c r="H15" s="80">
        <v>720.89039400000001</v>
      </c>
      <c r="I15" s="94" t="str">
        <f t="shared" si="0"/>
        <v>N/A</v>
      </c>
      <c r="J15" s="95">
        <f t="shared" si="1"/>
        <v>183.68664419999999</v>
      </c>
      <c r="K15" s="94">
        <f t="shared" si="2"/>
        <v>2.9245661933650813</v>
      </c>
      <c r="L15" s="78" t="s">
        <v>61</v>
      </c>
      <c r="M15" s="97" t="s">
        <v>62</v>
      </c>
    </row>
    <row r="16" spans="1:13" x14ac:dyDescent="0.3">
      <c r="A16" s="155"/>
      <c r="B16" s="89" t="s">
        <v>73</v>
      </c>
      <c r="C16" s="97" t="s">
        <v>46</v>
      </c>
      <c r="D16" s="80">
        <v>268.11563000000001</v>
      </c>
      <c r="E16" s="80">
        <v>309.09116599999999</v>
      </c>
      <c r="F16" s="80">
        <v>225.58127999999999</v>
      </c>
      <c r="G16" s="80">
        <v>162.34304299999999</v>
      </c>
      <c r="H16" s="80">
        <v>258.93971599999998</v>
      </c>
      <c r="I16" s="94">
        <f t="shared" si="0"/>
        <v>0.59501578395324262</v>
      </c>
      <c r="J16" s="95">
        <f t="shared" si="1"/>
        <v>244.814167</v>
      </c>
      <c r="K16" s="94">
        <f t="shared" si="2"/>
        <v>5.7699066900813722E-2</v>
      </c>
      <c r="L16" s="78" t="s">
        <v>61</v>
      </c>
      <c r="M16" s="97" t="s">
        <v>62</v>
      </c>
    </row>
    <row r="17" spans="1:13" x14ac:dyDescent="0.3">
      <c r="A17" s="155"/>
      <c r="B17" s="89" t="s">
        <v>65</v>
      </c>
      <c r="C17" s="97" t="s">
        <v>46</v>
      </c>
      <c r="D17" s="80">
        <v>1416.925722</v>
      </c>
      <c r="E17" s="80">
        <v>1536.445391</v>
      </c>
      <c r="F17" s="80">
        <v>916.29712300000006</v>
      </c>
      <c r="G17" s="80">
        <v>550.90780299999994</v>
      </c>
      <c r="H17" s="80">
        <v>63.463963</v>
      </c>
      <c r="I17" s="94">
        <f t="shared" si="0"/>
        <v>-0.8848011179830757</v>
      </c>
      <c r="J17" s="95">
        <f t="shared" si="1"/>
        <v>896.80800040000008</v>
      </c>
      <c r="K17" s="94">
        <f t="shared" si="2"/>
        <v>-0.92923350040176556</v>
      </c>
      <c r="L17" s="78" t="s">
        <v>61</v>
      </c>
      <c r="M17" s="97" t="s">
        <v>62</v>
      </c>
    </row>
    <row r="18" spans="1:13" x14ac:dyDescent="0.3">
      <c r="A18" s="98" t="s">
        <v>76</v>
      </c>
      <c r="B18" s="88" t="s">
        <v>60</v>
      </c>
      <c r="C18" s="97" t="s">
        <v>46</v>
      </c>
      <c r="D18" s="80">
        <v>0.39611445999999995</v>
      </c>
      <c r="E18" s="80">
        <v>0.25776553000000002</v>
      </c>
      <c r="F18" s="80">
        <v>0.21274544999999997</v>
      </c>
      <c r="G18" s="80">
        <v>0.22972292999999999</v>
      </c>
      <c r="H18" s="80">
        <v>0.21142309000000004</v>
      </c>
      <c r="I18" s="94">
        <f t="shared" si="0"/>
        <v>-7.9660484915458629E-2</v>
      </c>
      <c r="J18" s="95">
        <f t="shared" si="1"/>
        <v>0.26155429199999997</v>
      </c>
      <c r="K18" s="94">
        <f t="shared" si="2"/>
        <v>-0.19166652405765128</v>
      </c>
      <c r="L18" s="78" t="s">
        <v>61</v>
      </c>
      <c r="M18" s="97" t="s">
        <v>62</v>
      </c>
    </row>
    <row r="19" spans="1:13" x14ac:dyDescent="0.3">
      <c r="A19" s="98" t="s">
        <v>67</v>
      </c>
      <c r="B19" s="88" t="s">
        <v>60</v>
      </c>
      <c r="C19" s="97" t="s">
        <v>46</v>
      </c>
      <c r="D19" s="80">
        <f>+D14-D18</f>
        <v>2105.76057554</v>
      </c>
      <c r="E19" s="80">
        <f t="shared" ref="E19:H19" si="7">+E14-E18</f>
        <v>1974.5353154700001</v>
      </c>
      <c r="F19" s="80">
        <f t="shared" si="7"/>
        <v>1381.61953255</v>
      </c>
      <c r="G19" s="80">
        <f t="shared" si="7"/>
        <v>1027.4019380699999</v>
      </c>
      <c r="H19" s="80">
        <f t="shared" si="7"/>
        <v>1909.8120179100001</v>
      </c>
      <c r="I19" s="94">
        <f t="shared" si="0"/>
        <v>0.85887523387159415</v>
      </c>
      <c r="J19" s="95">
        <f t="shared" si="1"/>
        <v>1679.8258759079999</v>
      </c>
      <c r="K19" s="94">
        <f t="shared" si="2"/>
        <v>0.1369107032463619</v>
      </c>
      <c r="L19" s="78" t="s">
        <v>61</v>
      </c>
      <c r="M19" s="97" t="s">
        <v>62</v>
      </c>
    </row>
    <row r="20" spans="1:13" x14ac:dyDescent="0.3">
      <c r="A20" s="13" t="s">
        <v>68</v>
      </c>
    </row>
    <row r="21" spans="1:13" x14ac:dyDescent="0.3">
      <c r="A21" s="13" t="s">
        <v>69</v>
      </c>
    </row>
    <row r="22" spans="1:13" x14ac:dyDescent="0.3">
      <c r="A22" s="13" t="s">
        <v>77</v>
      </c>
    </row>
  </sheetData>
  <mergeCells count="2">
    <mergeCell ref="A14:A17"/>
    <mergeCell ref="A8:A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C11B-88FF-4FB0-9B56-08F9C8F8F721}">
  <dimension ref="A1:M20"/>
  <sheetViews>
    <sheetView workbookViewId="0"/>
  </sheetViews>
  <sheetFormatPr defaultRowHeight="14.4" x14ac:dyDescent="0.3"/>
  <cols>
    <col min="1" max="1" width="13.44140625" bestFit="1" customWidth="1"/>
    <col min="2" max="2" width="18.109375" bestFit="1" customWidth="1"/>
    <col min="3" max="3" width="10" bestFit="1" customWidth="1"/>
    <col min="12" max="12" width="24" bestFit="1" customWidth="1"/>
    <col min="13" max="13" width="9.109375" customWidth="1"/>
  </cols>
  <sheetData>
    <row r="1" spans="1:13" x14ac:dyDescent="0.3">
      <c r="A1" s="122" t="s">
        <v>11</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97" t="s">
        <v>46</v>
      </c>
      <c r="D3" s="80">
        <v>252.15352869999998</v>
      </c>
      <c r="E3" s="80">
        <v>243.04427555000001</v>
      </c>
      <c r="F3" s="80">
        <v>31.41166252</v>
      </c>
      <c r="G3" s="80">
        <v>35.48134992</v>
      </c>
      <c r="H3" s="80">
        <v>184.3</v>
      </c>
      <c r="I3" s="81">
        <f t="shared" ref="I3:I18" si="0">IF(ISBLANK(H3),"N/A",IF(ISNA(H3/G3-1),"N/A",IF(ISERROR(H3/G3-1),"N/A",H3/G3-1)))</f>
        <v>4.1942781324707843</v>
      </c>
      <c r="J3" s="82">
        <f t="shared" ref="J3:J18" si="1">IF(ISBLANK(H3),"",IF(ISNA(AVERAGE(D3:H3)),"N/A",IF(ISERROR(AVERAGE(D3:H3)),"N/A",AVERAGE(D3:H3))))</f>
        <v>149.27816333800001</v>
      </c>
      <c r="K3" s="81">
        <f t="shared" ref="K3:K18" si="2">IF(ISBLANK(H3),"",IF(ISNA(H3/AVERAGE(D3:H3)-1),"N/A",IF(ISERROR(H3/AVERAGE(D3:H3)-1),"N/A",H3/AVERAGE(D3:H3)-1)))</f>
        <v>0.23460790164401013</v>
      </c>
      <c r="L3" s="83" t="s">
        <v>408</v>
      </c>
      <c r="M3" s="84" t="s">
        <v>47</v>
      </c>
    </row>
    <row r="4" spans="1:13" x14ac:dyDescent="0.3">
      <c r="A4" s="98" t="s">
        <v>48</v>
      </c>
      <c r="B4" s="88"/>
      <c r="C4" s="99" t="s">
        <v>49</v>
      </c>
      <c r="D4" s="105">
        <v>82.015000000000001</v>
      </c>
      <c r="E4" s="105">
        <v>60.055</v>
      </c>
      <c r="F4" s="105">
        <v>6.7480000000000002</v>
      </c>
      <c r="G4" s="105">
        <v>4.2469999999999999</v>
      </c>
      <c r="H4" s="105">
        <v>45.097000000000001</v>
      </c>
      <c r="I4" s="81">
        <f t="shared" si="0"/>
        <v>9.6185542736048983</v>
      </c>
      <c r="J4" s="82">
        <f t="shared" si="1"/>
        <v>39.632400000000004</v>
      </c>
      <c r="K4" s="81">
        <f t="shared" si="2"/>
        <v>0.13788213683753692</v>
      </c>
      <c r="L4" s="83" t="s">
        <v>57</v>
      </c>
      <c r="M4" s="84" t="s">
        <v>50</v>
      </c>
    </row>
    <row r="5" spans="1:13" x14ac:dyDescent="0.3">
      <c r="A5" s="98" t="s">
        <v>51</v>
      </c>
      <c r="B5" s="88"/>
      <c r="C5" s="97" t="s">
        <v>52</v>
      </c>
      <c r="D5" s="86">
        <f>+D6/D4</f>
        <v>9.8323599341583847</v>
      </c>
      <c r="E5" s="86">
        <f>+E6/E4</f>
        <v>10.459328948463908</v>
      </c>
      <c r="F5" s="86">
        <f>+F6/F4</f>
        <v>9.0674273858921151</v>
      </c>
      <c r="G5" s="86">
        <f>+G6/G4</f>
        <v>10.86131386861314</v>
      </c>
      <c r="H5" s="86">
        <v>9.3800000000000008</v>
      </c>
      <c r="I5" s="81">
        <f t="shared" si="0"/>
        <v>-0.13638440860215051</v>
      </c>
      <c r="J5" s="82">
        <f t="shared" si="1"/>
        <v>9.9200860274255085</v>
      </c>
      <c r="K5" s="81">
        <f t="shared" si="2"/>
        <v>-5.4443683848341862E-2</v>
      </c>
      <c r="L5" s="83" t="s">
        <v>57</v>
      </c>
      <c r="M5" s="84" t="s">
        <v>50</v>
      </c>
    </row>
    <row r="6" spans="1:13" x14ac:dyDescent="0.3">
      <c r="A6" s="98" t="s">
        <v>53</v>
      </c>
      <c r="B6" s="78"/>
      <c r="C6" s="99" t="s">
        <v>54</v>
      </c>
      <c r="D6" s="105">
        <v>806.40099999999995</v>
      </c>
      <c r="E6" s="105">
        <v>628.13499999999999</v>
      </c>
      <c r="F6" s="105">
        <v>61.186999999999998</v>
      </c>
      <c r="G6" s="105">
        <v>46.128</v>
      </c>
      <c r="H6" s="105">
        <v>423</v>
      </c>
      <c r="I6" s="81">
        <f t="shared" si="0"/>
        <v>8.1701352757544221</v>
      </c>
      <c r="J6" s="82">
        <f t="shared" si="1"/>
        <v>392.97019999999998</v>
      </c>
      <c r="K6" s="81">
        <f t="shared" si="2"/>
        <v>7.6417499342189332E-2</v>
      </c>
      <c r="L6" s="83" t="s">
        <v>57</v>
      </c>
      <c r="M6" s="84" t="s">
        <v>50</v>
      </c>
    </row>
    <row r="7" spans="1:13" x14ac:dyDescent="0.3">
      <c r="A7" s="98" t="s">
        <v>55</v>
      </c>
      <c r="B7" s="78"/>
      <c r="C7" s="97" t="s">
        <v>56</v>
      </c>
      <c r="D7" s="80">
        <v>312.69</v>
      </c>
      <c r="E7" s="80">
        <v>386.93</v>
      </c>
      <c r="F7" s="80">
        <v>513.37</v>
      </c>
      <c r="G7" s="80">
        <v>769.2</v>
      </c>
      <c r="H7" s="80">
        <v>435.589</v>
      </c>
      <c r="I7" s="81">
        <f t="shared" si="0"/>
        <v>-0.43371164846593868</v>
      </c>
      <c r="J7" s="82">
        <f t="shared" si="1"/>
        <v>483.55579999999998</v>
      </c>
      <c r="K7" s="81">
        <f t="shared" si="2"/>
        <v>-9.9195997649082046E-2</v>
      </c>
      <c r="L7" s="102" t="s">
        <v>409</v>
      </c>
      <c r="M7" s="84" t="s">
        <v>58</v>
      </c>
    </row>
    <row r="8" spans="1:13" x14ac:dyDescent="0.3">
      <c r="A8" s="155" t="s">
        <v>78</v>
      </c>
      <c r="B8" s="78" t="s">
        <v>60</v>
      </c>
      <c r="C8" s="97" t="s">
        <v>46</v>
      </c>
      <c r="D8" s="80">
        <v>35.553553000000001</v>
      </c>
      <c r="E8" s="80">
        <v>43.562081999999997</v>
      </c>
      <c r="F8" s="80">
        <v>14.767956999999999</v>
      </c>
      <c r="G8" s="80">
        <v>6.6231819999999999</v>
      </c>
      <c r="H8" s="80">
        <v>4.711722</v>
      </c>
      <c r="I8" s="81">
        <f t="shared" ref="I8:I12" si="3">IF(ISBLANK(H8),"N/A",IF(ISNA(H8/G8-1),"N/A",IF(ISERROR(H8/G8-1),"N/A",H8/G8-1)))</f>
        <v>-0.28860146074802107</v>
      </c>
      <c r="J8" s="82">
        <f t="shared" ref="J8:J12" si="4">IF(ISBLANK(H8),"",IF(ISNA(AVERAGE(D8:H8)),"N/A",IF(ISERROR(AVERAGE(D8:H8)),"N/A",AVERAGE(D8:H8))))</f>
        <v>21.043699199999999</v>
      </c>
      <c r="K8" s="81">
        <f t="shared" ref="K8:K12" si="5">IF(ISBLANK(H8),"",IF(ISNA(H8/AVERAGE(D8:H8)-1),"N/A",IF(ISERROR(H8/AVERAGE(D8:H8)-1),"N/A",H8/AVERAGE(D8:H8)-1)))</f>
        <v>-0.77609820615569336</v>
      </c>
      <c r="L8" s="83" t="s">
        <v>61</v>
      </c>
      <c r="M8" s="84" t="s">
        <v>62</v>
      </c>
    </row>
    <row r="9" spans="1:13" x14ac:dyDescent="0.3">
      <c r="A9" s="155"/>
      <c r="B9" s="78" t="s">
        <v>79</v>
      </c>
      <c r="C9" s="97" t="s">
        <v>46</v>
      </c>
      <c r="D9" s="80">
        <v>35.544966000000002</v>
      </c>
      <c r="E9" s="80">
        <v>43.538865000000001</v>
      </c>
      <c r="F9" s="80">
        <v>14.142956999999999</v>
      </c>
      <c r="G9" s="80">
        <v>6.6062989999999999</v>
      </c>
      <c r="H9" s="80">
        <v>4.711722</v>
      </c>
      <c r="I9" s="81">
        <f t="shared" si="3"/>
        <v>-0.28678341685715403</v>
      </c>
      <c r="J9" s="82">
        <f t="shared" si="4"/>
        <v>20.9089618</v>
      </c>
      <c r="K9" s="81">
        <f t="shared" si="5"/>
        <v>-0.7746553824590181</v>
      </c>
      <c r="L9" s="83" t="s">
        <v>61</v>
      </c>
      <c r="M9" s="84" t="s">
        <v>62</v>
      </c>
    </row>
    <row r="10" spans="1:13" x14ac:dyDescent="0.3">
      <c r="A10" s="155"/>
      <c r="B10" s="78" t="s">
        <v>80</v>
      </c>
      <c r="C10" s="97" t="s">
        <v>46</v>
      </c>
      <c r="D10" s="80">
        <v>8.5869999999999991E-3</v>
      </c>
      <c r="E10" s="80">
        <v>2.3217000000000002E-2</v>
      </c>
      <c r="F10" s="80">
        <v>0.625</v>
      </c>
      <c r="G10" s="80">
        <v>1.6882999999999999E-2</v>
      </c>
      <c r="H10" s="80">
        <v>0</v>
      </c>
      <c r="I10" s="81">
        <f t="shared" si="3"/>
        <v>-1</v>
      </c>
      <c r="J10" s="82">
        <f t="shared" si="4"/>
        <v>0.13473739999999998</v>
      </c>
      <c r="K10" s="81">
        <f t="shared" si="5"/>
        <v>-1</v>
      </c>
      <c r="L10" s="83" t="s">
        <v>61</v>
      </c>
      <c r="M10" s="84" t="s">
        <v>62</v>
      </c>
    </row>
    <row r="11" spans="1:13" x14ac:dyDescent="0.3">
      <c r="A11" s="98" t="s">
        <v>74</v>
      </c>
      <c r="B11" s="78" t="s">
        <v>60</v>
      </c>
      <c r="C11" s="97" t="s">
        <v>46</v>
      </c>
      <c r="D11" s="80">
        <v>76.235851909999994</v>
      </c>
      <c r="E11" s="80">
        <v>79.390460619999999</v>
      </c>
      <c r="F11" s="80">
        <v>96.016589249999996</v>
      </c>
      <c r="G11" s="80">
        <v>148.43806641999998</v>
      </c>
      <c r="H11" s="80">
        <v>103.98743898000001</v>
      </c>
      <c r="I11" s="81">
        <f t="shared" si="3"/>
        <v>-0.29945571585545028</v>
      </c>
      <c r="J11" s="82">
        <f t="shared" si="4"/>
        <v>100.813681436</v>
      </c>
      <c r="K11" s="81">
        <f t="shared" si="5"/>
        <v>3.1481416994129097E-2</v>
      </c>
      <c r="L11" s="83" t="s">
        <v>61</v>
      </c>
      <c r="M11" s="84" t="s">
        <v>62</v>
      </c>
    </row>
    <row r="12" spans="1:13" x14ac:dyDescent="0.3">
      <c r="A12" s="98" t="s">
        <v>67</v>
      </c>
      <c r="B12" s="78" t="s">
        <v>60</v>
      </c>
      <c r="C12" s="97" t="s">
        <v>46</v>
      </c>
      <c r="D12" s="80">
        <f>+D8-D11</f>
        <v>-40.682298909999993</v>
      </c>
      <c r="E12" s="80">
        <f t="shared" ref="E12:H12" si="6">+E8-E11</f>
        <v>-35.828378620000002</v>
      </c>
      <c r="F12" s="80">
        <f t="shared" si="6"/>
        <v>-81.24863225</v>
      </c>
      <c r="G12" s="80">
        <f t="shared" si="6"/>
        <v>-141.81488442</v>
      </c>
      <c r="H12" s="80">
        <f t="shared" si="6"/>
        <v>-99.275716980000013</v>
      </c>
      <c r="I12" s="81">
        <f t="shared" si="3"/>
        <v>-0.29996264224293745</v>
      </c>
      <c r="J12" s="82">
        <f t="shared" si="4"/>
        <v>-79.769982236000004</v>
      </c>
      <c r="K12" s="81">
        <f t="shared" si="5"/>
        <v>0.2445247472450498</v>
      </c>
      <c r="L12" s="83" t="s">
        <v>61</v>
      </c>
      <c r="M12" s="84" t="s">
        <v>62</v>
      </c>
    </row>
    <row r="13" spans="1:13" x14ac:dyDescent="0.3">
      <c r="A13" s="155" t="s">
        <v>81</v>
      </c>
      <c r="B13" s="88" t="s">
        <v>60</v>
      </c>
      <c r="C13" s="97" t="s">
        <v>46</v>
      </c>
      <c r="D13" s="80">
        <v>149.29977</v>
      </c>
      <c r="E13" s="83">
        <v>310.90129300000001</v>
      </c>
      <c r="F13" s="83">
        <v>273.14006999999998</v>
      </c>
      <c r="G13" s="83">
        <v>134.74133</v>
      </c>
      <c r="H13" s="83">
        <v>34.622363</v>
      </c>
      <c r="I13" s="81">
        <f t="shared" si="0"/>
        <v>-0.74304570839548645</v>
      </c>
      <c r="J13" s="82">
        <f t="shared" si="1"/>
        <v>180.54096519999999</v>
      </c>
      <c r="K13" s="81">
        <f t="shared" si="2"/>
        <v>-0.80822987757019038</v>
      </c>
      <c r="L13" s="83" t="s">
        <v>61</v>
      </c>
      <c r="M13" s="84" t="s">
        <v>62</v>
      </c>
    </row>
    <row r="14" spans="1:13" x14ac:dyDescent="0.3">
      <c r="A14" s="155"/>
      <c r="B14" s="89" t="s">
        <v>79</v>
      </c>
      <c r="C14" s="97" t="s">
        <v>46</v>
      </c>
      <c r="D14" s="80">
        <v>149.29118299999999</v>
      </c>
      <c r="E14" s="80">
        <v>310.87807600000002</v>
      </c>
      <c r="F14" s="80">
        <v>272.51506999999998</v>
      </c>
      <c r="G14" s="80">
        <v>134.724447</v>
      </c>
      <c r="H14" s="80">
        <v>34.101270999999997</v>
      </c>
      <c r="I14" s="81">
        <f t="shared" si="0"/>
        <v>-0.74688134366586045</v>
      </c>
      <c r="J14" s="82">
        <f t="shared" si="1"/>
        <v>180.3020094</v>
      </c>
      <c r="K14" s="81">
        <f t="shared" si="2"/>
        <v>-0.81086582942985219</v>
      </c>
      <c r="L14" s="83" t="s">
        <v>61</v>
      </c>
      <c r="M14" s="84" t="s">
        <v>62</v>
      </c>
    </row>
    <row r="15" spans="1:13" x14ac:dyDescent="0.3">
      <c r="A15" s="155"/>
      <c r="B15" s="89" t="s">
        <v>82</v>
      </c>
      <c r="C15" s="97" t="s">
        <v>46</v>
      </c>
      <c r="D15" s="80">
        <v>0</v>
      </c>
      <c r="E15" s="80">
        <v>0</v>
      </c>
      <c r="F15" s="80">
        <v>0</v>
      </c>
      <c r="G15" s="80">
        <v>0</v>
      </c>
      <c r="H15" s="80">
        <v>0.30632999999999999</v>
      </c>
      <c r="I15" s="81" t="str">
        <f t="shared" si="0"/>
        <v>N/A</v>
      </c>
      <c r="J15" s="82">
        <f t="shared" si="1"/>
        <v>6.1266000000000001E-2</v>
      </c>
      <c r="K15" s="81">
        <f t="shared" si="2"/>
        <v>4</v>
      </c>
      <c r="L15" s="83" t="s">
        <v>61</v>
      </c>
      <c r="M15" s="84" t="s">
        <v>62</v>
      </c>
    </row>
    <row r="16" spans="1:13" x14ac:dyDescent="0.3">
      <c r="A16" s="155"/>
      <c r="B16" s="89" t="s">
        <v>80</v>
      </c>
      <c r="C16" s="97" t="s">
        <v>46</v>
      </c>
      <c r="D16" s="80">
        <v>8.5869999999999991E-3</v>
      </c>
      <c r="E16" s="80">
        <v>2.3217000000000002E-2</v>
      </c>
      <c r="F16" s="80">
        <v>0.625</v>
      </c>
      <c r="G16" s="80">
        <v>1.6882999999999999E-2</v>
      </c>
      <c r="H16" s="80">
        <v>0.21476200000000001</v>
      </c>
      <c r="I16" s="81">
        <f t="shared" si="0"/>
        <v>11.72060652727596</v>
      </c>
      <c r="J16" s="82">
        <f t="shared" si="1"/>
        <v>0.17768979999999998</v>
      </c>
      <c r="K16" s="81">
        <f t="shared" si="2"/>
        <v>0.20863437293530662</v>
      </c>
      <c r="L16" s="83" t="s">
        <v>61</v>
      </c>
      <c r="M16" s="84" t="s">
        <v>62</v>
      </c>
    </row>
    <row r="17" spans="1:13" x14ac:dyDescent="0.3">
      <c r="A17" s="98" t="s">
        <v>66</v>
      </c>
      <c r="B17" s="88" t="s">
        <v>60</v>
      </c>
      <c r="C17" s="97" t="s">
        <v>46</v>
      </c>
      <c r="D17" s="80">
        <v>182.46763270000002</v>
      </c>
      <c r="E17" s="80">
        <v>198.89641499000001</v>
      </c>
      <c r="F17" s="80">
        <v>256.94107903999998</v>
      </c>
      <c r="G17" s="80">
        <v>378.58902534000003</v>
      </c>
      <c r="H17" s="80">
        <v>294.359531</v>
      </c>
      <c r="I17" s="81">
        <f t="shared" si="0"/>
        <v>-0.22248266247114779</v>
      </c>
      <c r="J17" s="82">
        <f t="shared" si="1"/>
        <v>262.250736614</v>
      </c>
      <c r="K17" s="81">
        <f t="shared" si="2"/>
        <v>0.12243547835390856</v>
      </c>
      <c r="L17" s="83" t="s">
        <v>61</v>
      </c>
      <c r="M17" s="84" t="s">
        <v>62</v>
      </c>
    </row>
    <row r="18" spans="1:13" x14ac:dyDescent="0.3">
      <c r="A18" s="98" t="s">
        <v>67</v>
      </c>
      <c r="B18" s="88" t="s">
        <v>60</v>
      </c>
      <c r="C18" s="97" t="s">
        <v>46</v>
      </c>
      <c r="D18" s="80">
        <f>+D13-D17</f>
        <v>-33.167862700000029</v>
      </c>
      <c r="E18" s="80">
        <f>+E13-E17</f>
        <v>112.00487801</v>
      </c>
      <c r="F18" s="80">
        <f>+F13-F17</f>
        <v>16.198990960000003</v>
      </c>
      <c r="G18" s="80">
        <f>+G13-G17</f>
        <v>-243.84769534000003</v>
      </c>
      <c r="H18" s="80">
        <f>+H13-H17</f>
        <v>-259.737168</v>
      </c>
      <c r="I18" s="81">
        <f t="shared" si="0"/>
        <v>6.5161463338191838E-2</v>
      </c>
      <c r="J18" s="82">
        <f t="shared" si="1"/>
        <v>-81.709771414000016</v>
      </c>
      <c r="K18" s="81">
        <f t="shared" si="2"/>
        <v>2.1787773176354408</v>
      </c>
      <c r="L18" s="83" t="s">
        <v>61</v>
      </c>
      <c r="M18" s="84" t="s">
        <v>62</v>
      </c>
    </row>
    <row r="19" spans="1:13" x14ac:dyDescent="0.3">
      <c r="A19" s="13" t="s">
        <v>68</v>
      </c>
    </row>
    <row r="20" spans="1:13" x14ac:dyDescent="0.3">
      <c r="A20" s="13" t="s">
        <v>69</v>
      </c>
    </row>
  </sheetData>
  <mergeCells count="2">
    <mergeCell ref="A13:A16"/>
    <mergeCell ref="A8: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7B1C-13CA-47FB-8CE0-90ACAC6A80A3}">
  <dimension ref="A1:M15"/>
  <sheetViews>
    <sheetView workbookViewId="0"/>
  </sheetViews>
  <sheetFormatPr defaultRowHeight="14.4" x14ac:dyDescent="0.3"/>
  <cols>
    <col min="1" max="1" width="17.5546875" customWidth="1"/>
    <col min="2" max="2" width="11.5546875" bestFit="1" customWidth="1"/>
    <col min="3" max="3" width="10" bestFit="1" customWidth="1"/>
    <col min="12" max="12" width="24" bestFit="1" customWidth="1"/>
  </cols>
  <sheetData>
    <row r="1" spans="1:13" x14ac:dyDescent="0.3">
      <c r="A1" s="122" t="s">
        <v>83</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97" t="s">
        <v>46</v>
      </c>
      <c r="D3" s="80">
        <v>308.69937397000001</v>
      </c>
      <c r="E3" s="80">
        <v>217.44349231999999</v>
      </c>
      <c r="F3" s="80">
        <v>194.13288906</v>
      </c>
      <c r="G3" s="80">
        <v>152.51688572999998</v>
      </c>
      <c r="H3" s="80">
        <v>339.69027027601391</v>
      </c>
      <c r="I3" s="81">
        <f t="shared" ref="I3:I13" si="0">IF(ISBLANK(H3),"N/A",IF(ISNA(H3/G3-1),"N/A",IF(ISERROR(H3/G3-1),"N/A",H3/G3-1)))</f>
        <v>1.2272305695866765</v>
      </c>
      <c r="J3" s="82">
        <f t="shared" ref="J3:J13" si="1">IF(ISBLANK(H3),"",IF(ISNA(AVERAGE(D3:H3)),"N/A",IF(ISERROR(AVERAGE(D3:H3)),"N/A",AVERAGE(D3:H3))))</f>
        <v>242.49658227120281</v>
      </c>
      <c r="K3" s="81">
        <f t="shared" ref="K3:K13" si="2">IF(ISBLANK(H3),"",IF(ISNA(H3/AVERAGE(D3:H3)-1),"N/A",IF(ISERROR(H3/AVERAGE(D3:H3)-1),"N/A",H3/AVERAGE(D3:H3)-1)))</f>
        <v>0.40080436224916283</v>
      </c>
      <c r="L3" s="83" t="s">
        <v>408</v>
      </c>
      <c r="M3" s="97" t="s">
        <v>47</v>
      </c>
    </row>
    <row r="4" spans="1:13" x14ac:dyDescent="0.3">
      <c r="A4" s="98" t="s">
        <v>48</v>
      </c>
      <c r="B4" s="88"/>
      <c r="C4" s="99" t="s">
        <v>49</v>
      </c>
      <c r="D4" s="105">
        <v>494.57499999999999</v>
      </c>
      <c r="E4" s="105">
        <v>517.31500000000005</v>
      </c>
      <c r="F4" s="105">
        <v>527.67499999999995</v>
      </c>
      <c r="G4" s="105">
        <v>340.565</v>
      </c>
      <c r="H4" s="105">
        <v>494.10299999999995</v>
      </c>
      <c r="I4" s="81">
        <f t="shared" si="0"/>
        <v>0.45083317428391045</v>
      </c>
      <c r="J4" s="82">
        <f t="shared" si="1"/>
        <v>474.84660000000002</v>
      </c>
      <c r="K4" s="81">
        <f t="shared" si="2"/>
        <v>4.0552885921474324E-2</v>
      </c>
      <c r="L4" s="83" t="s">
        <v>57</v>
      </c>
      <c r="M4" s="97" t="s">
        <v>50</v>
      </c>
    </row>
    <row r="5" spans="1:13" x14ac:dyDescent="0.3">
      <c r="A5" s="98" t="s">
        <v>51</v>
      </c>
      <c r="B5" s="88"/>
      <c r="C5" s="97" t="s">
        <v>52</v>
      </c>
      <c r="D5" s="86">
        <f>+D6/D4</f>
        <v>2.3607562048223225</v>
      </c>
      <c r="E5" s="86">
        <f>+E6/E4</f>
        <v>1.4445589244464205</v>
      </c>
      <c r="F5" s="86">
        <f>+F6/F4</f>
        <v>0.97522338560667088</v>
      </c>
      <c r="G5" s="86">
        <f>+G6/G4</f>
        <v>1.1457783389367668</v>
      </c>
      <c r="H5" s="86">
        <f>+H6/H4</f>
        <v>2.4950445554874188</v>
      </c>
      <c r="I5" s="81">
        <f t="shared" si="0"/>
        <v>1.1775979442958513</v>
      </c>
      <c r="J5" s="82">
        <f t="shared" si="1"/>
        <v>1.6842722818599198</v>
      </c>
      <c r="K5" s="81">
        <f t="shared" si="2"/>
        <v>0.48137838659446075</v>
      </c>
      <c r="L5" s="83" t="s">
        <v>57</v>
      </c>
      <c r="M5" s="97" t="s">
        <v>50</v>
      </c>
    </row>
    <row r="6" spans="1:13" x14ac:dyDescent="0.3">
      <c r="A6" s="98" t="s">
        <v>53</v>
      </c>
      <c r="B6" s="78"/>
      <c r="C6" s="99" t="s">
        <v>54</v>
      </c>
      <c r="D6" s="105">
        <v>1167.5710000000001</v>
      </c>
      <c r="E6" s="105">
        <v>747.29200000000014</v>
      </c>
      <c r="F6" s="105">
        <v>514.601</v>
      </c>
      <c r="G6" s="105">
        <v>390.21199999999999</v>
      </c>
      <c r="H6" s="105">
        <v>1232.809</v>
      </c>
      <c r="I6" s="81">
        <f t="shared" si="0"/>
        <v>2.1593313378368681</v>
      </c>
      <c r="J6" s="82">
        <f t="shared" si="1"/>
        <v>810.49700000000007</v>
      </c>
      <c r="K6" s="81">
        <f t="shared" si="2"/>
        <v>0.52105313159703237</v>
      </c>
      <c r="L6" s="83" t="s">
        <v>57</v>
      </c>
      <c r="M6" s="97" t="s">
        <v>50</v>
      </c>
    </row>
    <row r="7" spans="1:13" x14ac:dyDescent="0.3">
      <c r="A7" s="98" t="s">
        <v>84</v>
      </c>
      <c r="B7" s="78"/>
      <c r="C7" s="97" t="s">
        <v>56</v>
      </c>
      <c r="D7" s="80">
        <v>244.59049999999999</v>
      </c>
      <c r="E7" s="80">
        <v>276.17049999999995</v>
      </c>
      <c r="F7" s="80">
        <v>376.20050000000003</v>
      </c>
      <c r="G7" s="80">
        <v>394.14825000000002</v>
      </c>
      <c r="H7" s="80">
        <v>294.74950000000001</v>
      </c>
      <c r="I7" s="81">
        <f t="shared" si="0"/>
        <v>-0.25218620151174087</v>
      </c>
      <c r="J7" s="82">
        <f t="shared" si="1"/>
        <v>317.17185000000001</v>
      </c>
      <c r="K7" s="81">
        <f t="shared" si="2"/>
        <v>-7.069464077597043E-2</v>
      </c>
      <c r="L7" s="102" t="s">
        <v>409</v>
      </c>
      <c r="M7" s="97" t="s">
        <v>58</v>
      </c>
    </row>
    <row r="8" spans="1:13" x14ac:dyDescent="0.3">
      <c r="A8" s="155" t="s">
        <v>85</v>
      </c>
      <c r="B8" s="88" t="s">
        <v>60</v>
      </c>
      <c r="C8" s="97" t="s">
        <v>46</v>
      </c>
      <c r="D8" s="80">
        <v>55.497073</v>
      </c>
      <c r="E8" s="80">
        <v>41.508612999999997</v>
      </c>
      <c r="F8" s="80">
        <v>5.5922729999999996</v>
      </c>
      <c r="G8" s="80">
        <v>1.2930410000000001</v>
      </c>
      <c r="H8" s="80">
        <v>68.766856000000004</v>
      </c>
      <c r="I8" s="81">
        <f t="shared" si="0"/>
        <v>52.18227032244144</v>
      </c>
      <c r="J8" s="82">
        <f t="shared" si="1"/>
        <v>34.531571200000002</v>
      </c>
      <c r="K8" s="81">
        <f t="shared" si="2"/>
        <v>0.9914198401722305</v>
      </c>
      <c r="L8" s="83" t="s">
        <v>61</v>
      </c>
      <c r="M8" s="97" t="s">
        <v>62</v>
      </c>
    </row>
    <row r="9" spans="1:13" x14ac:dyDescent="0.3">
      <c r="A9" s="155"/>
      <c r="B9" s="89" t="s">
        <v>65</v>
      </c>
      <c r="C9" s="97" t="s">
        <v>46</v>
      </c>
      <c r="D9" s="80">
        <v>52.178266000000001</v>
      </c>
      <c r="E9" s="80">
        <v>40.727727999999999</v>
      </c>
      <c r="F9" s="80">
        <v>5.1218830000000004</v>
      </c>
      <c r="G9" s="80">
        <v>0.45589499999999999</v>
      </c>
      <c r="H9" s="80">
        <v>51.541997000000002</v>
      </c>
      <c r="I9" s="81">
        <f t="shared" si="0"/>
        <v>112.05672797464329</v>
      </c>
      <c r="J9" s="82">
        <f t="shared" si="1"/>
        <v>30.005153799999999</v>
      </c>
      <c r="K9" s="81">
        <f t="shared" si="2"/>
        <v>0.71777146498079292</v>
      </c>
      <c r="L9" s="83" t="s">
        <v>61</v>
      </c>
      <c r="M9" s="97" t="s">
        <v>62</v>
      </c>
    </row>
    <row r="10" spans="1:13" x14ac:dyDescent="0.3">
      <c r="A10" s="155"/>
      <c r="B10" s="89" t="s">
        <v>73</v>
      </c>
      <c r="C10" s="97" t="s">
        <v>46</v>
      </c>
      <c r="D10" s="80">
        <v>1.625138</v>
      </c>
      <c r="E10" s="80">
        <v>5.9200000000000003E-2</v>
      </c>
      <c r="F10" s="80">
        <v>9.9839999999999998E-2</v>
      </c>
      <c r="G10" s="80">
        <v>0.19223999999999999</v>
      </c>
      <c r="H10" s="80">
        <v>13.078875</v>
      </c>
      <c r="I10" s="81">
        <f t="shared" si="0"/>
        <v>67.034098002496876</v>
      </c>
      <c r="J10" s="82">
        <f t="shared" si="1"/>
        <v>3.0110585999999997</v>
      </c>
      <c r="K10" s="81">
        <f t="shared" si="2"/>
        <v>3.3436135716521758</v>
      </c>
      <c r="L10" s="83" t="s">
        <v>61</v>
      </c>
      <c r="M10" s="97" t="s">
        <v>62</v>
      </c>
    </row>
    <row r="11" spans="1:13" x14ac:dyDescent="0.3">
      <c r="A11" s="155"/>
      <c r="B11" s="89" t="s">
        <v>86</v>
      </c>
      <c r="C11" s="97" t="s">
        <v>46</v>
      </c>
      <c r="D11" s="80">
        <v>0.53920500000000005</v>
      </c>
      <c r="E11" s="80">
        <v>0.57827399999999995</v>
      </c>
      <c r="F11" s="80">
        <v>0.16303599999999999</v>
      </c>
      <c r="G11" s="80">
        <v>0.225878</v>
      </c>
      <c r="H11" s="80">
        <v>1.663543</v>
      </c>
      <c r="I11" s="81">
        <f t="shared" si="0"/>
        <v>6.3647854151356045</v>
      </c>
      <c r="J11" s="82">
        <f t="shared" si="1"/>
        <v>0.63398719999999997</v>
      </c>
      <c r="K11" s="81">
        <f t="shared" si="2"/>
        <v>1.6239378334452179</v>
      </c>
      <c r="L11" s="83" t="s">
        <v>61</v>
      </c>
      <c r="M11" s="97" t="s">
        <v>62</v>
      </c>
    </row>
    <row r="12" spans="1:13" x14ac:dyDescent="0.3">
      <c r="A12" s="98" t="s">
        <v>87</v>
      </c>
      <c r="B12" s="88" t="s">
        <v>60</v>
      </c>
      <c r="C12" s="97" t="s">
        <v>46</v>
      </c>
      <c r="D12" s="80">
        <v>2.2758699999999997E-3</v>
      </c>
      <c r="E12" s="80">
        <v>0</v>
      </c>
      <c r="F12" s="80">
        <v>0</v>
      </c>
      <c r="G12" s="80">
        <v>1.5153900000000001E-3</v>
      </c>
      <c r="H12" s="80">
        <v>0</v>
      </c>
      <c r="I12" s="81">
        <f t="shared" si="0"/>
        <v>-1</v>
      </c>
      <c r="J12" s="82">
        <f t="shared" si="1"/>
        <v>7.5825199999999995E-4</v>
      </c>
      <c r="K12" s="81">
        <f t="shared" si="2"/>
        <v>-1</v>
      </c>
      <c r="L12" s="83" t="s">
        <v>61</v>
      </c>
      <c r="M12" s="97" t="s">
        <v>62</v>
      </c>
    </row>
    <row r="13" spans="1:13" x14ac:dyDescent="0.3">
      <c r="A13" s="98" t="s">
        <v>67</v>
      </c>
      <c r="B13" s="88" t="s">
        <v>60</v>
      </c>
      <c r="C13" s="97" t="s">
        <v>46</v>
      </c>
      <c r="D13" s="80">
        <f>+D8-D12</f>
        <v>55.494797130000002</v>
      </c>
      <c r="E13" s="80">
        <f t="shared" ref="E13:H13" si="3">+E8-E12</f>
        <v>41.508612999999997</v>
      </c>
      <c r="F13" s="80">
        <f t="shared" si="3"/>
        <v>5.5922729999999996</v>
      </c>
      <c r="G13" s="80">
        <f t="shared" si="3"/>
        <v>1.2915256100000001</v>
      </c>
      <c r="H13" s="80">
        <f t="shared" si="3"/>
        <v>68.766856000000004</v>
      </c>
      <c r="I13" s="81">
        <f t="shared" si="0"/>
        <v>52.244670850932643</v>
      </c>
      <c r="J13" s="82">
        <f t="shared" si="1"/>
        <v>34.530812947999998</v>
      </c>
      <c r="K13" s="81">
        <f t="shared" si="2"/>
        <v>0.99146356917678458</v>
      </c>
      <c r="L13" s="83" t="s">
        <v>61</v>
      </c>
      <c r="M13" s="97" t="s">
        <v>62</v>
      </c>
    </row>
    <row r="14" spans="1:13" x14ac:dyDescent="0.3">
      <c r="A14" s="13" t="s">
        <v>68</v>
      </c>
    </row>
    <row r="15" spans="1:13" x14ac:dyDescent="0.3">
      <c r="A15" s="13" t="s">
        <v>69</v>
      </c>
    </row>
  </sheetData>
  <mergeCells count="1">
    <mergeCell ref="A8:A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0788-9B1A-41E5-A896-84C137823FB8}">
  <dimension ref="A1:M15"/>
  <sheetViews>
    <sheetView workbookViewId="0"/>
  </sheetViews>
  <sheetFormatPr defaultRowHeight="14.4" x14ac:dyDescent="0.3"/>
  <cols>
    <col min="1" max="1" width="14.6640625" bestFit="1" customWidth="1"/>
    <col min="2" max="2" width="11.5546875" bestFit="1" customWidth="1"/>
    <col min="3" max="3" width="10" bestFit="1" customWidth="1"/>
    <col min="12" max="12" width="24" bestFit="1" customWidth="1"/>
  </cols>
  <sheetData>
    <row r="1" spans="1:13" x14ac:dyDescent="0.3">
      <c r="A1" s="122" t="s">
        <v>13</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97" t="s">
        <v>46</v>
      </c>
      <c r="D3" s="80">
        <v>817.70248604000005</v>
      </c>
      <c r="E3" s="80">
        <v>258.43276026000001</v>
      </c>
      <c r="F3" s="80">
        <v>71.787893370000006</v>
      </c>
      <c r="G3" s="80">
        <v>57.266532670000004</v>
      </c>
      <c r="H3" s="80">
        <v>359.32060360622387</v>
      </c>
      <c r="I3" s="81">
        <f t="shared" ref="I3:I13" si="0">IF(ISBLANK(H3),"N/A",IF(ISNA(H3/G3-1),"N/A",IF(ISERROR(H3/G3-1),"N/A",H3/G3-1)))</f>
        <v>5.274530460519042</v>
      </c>
      <c r="J3" s="82">
        <f t="shared" ref="J3:J13" si="1">IF(ISBLANK(H3),"",IF(ISNA(AVERAGE(D3:H3)),"N/A",IF(ISERROR(AVERAGE(D3:H3)),"N/A",AVERAGE(D3:H3))))</f>
        <v>312.90205518924483</v>
      </c>
      <c r="K3" s="81">
        <f t="shared" ref="K3:K13" si="2">IF(ISBLANK(H3),"",IF(ISNA(H3/AVERAGE(D3:H3)-1),"N/A",IF(ISERROR(H3/AVERAGE(D3:H3)-1),"N/A",H3/AVERAGE(D3:H3)-1)))</f>
        <v>0.14834849323346511</v>
      </c>
      <c r="L3" s="83" t="s">
        <v>408</v>
      </c>
      <c r="M3" s="97" t="s">
        <v>47</v>
      </c>
    </row>
    <row r="4" spans="1:13" x14ac:dyDescent="0.3">
      <c r="A4" s="98" t="s">
        <v>48</v>
      </c>
      <c r="B4" s="88"/>
      <c r="C4" s="99" t="s">
        <v>49</v>
      </c>
      <c r="D4" s="105">
        <v>616</v>
      </c>
      <c r="E4" s="105">
        <v>682.4</v>
      </c>
      <c r="F4" s="105">
        <v>180.74400000000003</v>
      </c>
      <c r="G4" s="105">
        <v>157.57000000000002</v>
      </c>
      <c r="H4" s="105">
        <v>384</v>
      </c>
      <c r="I4" s="81">
        <f t="shared" si="0"/>
        <v>1.4370121215967502</v>
      </c>
      <c r="J4" s="82">
        <f t="shared" si="1"/>
        <v>404.14280000000002</v>
      </c>
      <c r="K4" s="81">
        <f t="shared" si="2"/>
        <v>-4.98407988463484E-2</v>
      </c>
      <c r="L4" s="83" t="s">
        <v>57</v>
      </c>
      <c r="M4" s="97" t="s">
        <v>50</v>
      </c>
    </row>
    <row r="5" spans="1:13" x14ac:dyDescent="0.3">
      <c r="A5" s="98" t="s">
        <v>51</v>
      </c>
      <c r="B5" s="88"/>
      <c r="C5" s="97" t="s">
        <v>52</v>
      </c>
      <c r="D5" s="86">
        <f>+D6/D4</f>
        <v>1.6741883116883116</v>
      </c>
      <c r="E5" s="86">
        <f>+E6/E4</f>
        <v>0.82699296600234462</v>
      </c>
      <c r="F5" s="86">
        <f>+F6/F4</f>
        <v>0.41934448723055806</v>
      </c>
      <c r="G5" s="86">
        <f>+G6/G4</f>
        <v>0.52943453703116072</v>
      </c>
      <c r="H5" s="86">
        <f>+H6/H4</f>
        <v>1.7833333333333332</v>
      </c>
      <c r="I5" s="81">
        <f t="shared" si="0"/>
        <v>2.3683736299741476</v>
      </c>
      <c r="J5" s="82">
        <f t="shared" si="1"/>
        <v>1.0466587270571417</v>
      </c>
      <c r="K5" s="81">
        <f t="shared" si="2"/>
        <v>0.70383458068273796</v>
      </c>
      <c r="L5" s="83" t="s">
        <v>57</v>
      </c>
      <c r="M5" s="97" t="s">
        <v>50</v>
      </c>
    </row>
    <row r="6" spans="1:13" x14ac:dyDescent="0.3">
      <c r="A6" s="98" t="s">
        <v>53</v>
      </c>
      <c r="B6" s="78"/>
      <c r="C6" s="99" t="s">
        <v>54</v>
      </c>
      <c r="D6" s="105">
        <v>1031.3</v>
      </c>
      <c r="E6" s="105">
        <v>564.33999999999992</v>
      </c>
      <c r="F6" s="105">
        <v>75.793999999999997</v>
      </c>
      <c r="G6" s="105">
        <v>83.423000000000002</v>
      </c>
      <c r="H6" s="105">
        <v>684.8</v>
      </c>
      <c r="I6" s="81">
        <f t="shared" si="0"/>
        <v>7.208767366313845</v>
      </c>
      <c r="J6" s="82">
        <f t="shared" si="1"/>
        <v>487.93140000000005</v>
      </c>
      <c r="K6" s="81">
        <f t="shared" si="2"/>
        <v>0.40347598043495436</v>
      </c>
      <c r="L6" s="83" t="s">
        <v>57</v>
      </c>
      <c r="M6" s="97" t="s">
        <v>50</v>
      </c>
    </row>
    <row r="7" spans="1:13" x14ac:dyDescent="0.3">
      <c r="A7" s="98" t="s">
        <v>88</v>
      </c>
      <c r="B7" s="78"/>
      <c r="C7" s="97" t="s">
        <v>56</v>
      </c>
      <c r="D7" s="80">
        <v>832.61400000000003</v>
      </c>
      <c r="E7" s="80">
        <v>651.35900000000004</v>
      </c>
      <c r="F7" s="80">
        <v>1126.117</v>
      </c>
      <c r="G7" s="80">
        <v>760.78099999999995</v>
      </c>
      <c r="H7" s="80">
        <v>645.995</v>
      </c>
      <c r="I7" s="81">
        <f t="shared" si="0"/>
        <v>-0.15087916233449572</v>
      </c>
      <c r="J7" s="82">
        <f t="shared" si="1"/>
        <v>803.3732</v>
      </c>
      <c r="K7" s="81">
        <f t="shared" si="2"/>
        <v>-0.19589675134794138</v>
      </c>
      <c r="L7" s="102" t="s">
        <v>409</v>
      </c>
      <c r="M7" s="97" t="s">
        <v>58</v>
      </c>
    </row>
    <row r="8" spans="1:13" x14ac:dyDescent="0.3">
      <c r="A8" s="154" t="s">
        <v>59</v>
      </c>
      <c r="B8" s="88" t="s">
        <v>60</v>
      </c>
      <c r="C8" s="97" t="s">
        <v>46</v>
      </c>
      <c r="D8" s="80">
        <v>531.664716</v>
      </c>
      <c r="E8" s="80">
        <v>333.32132200000001</v>
      </c>
      <c r="F8" s="80">
        <v>56.862020000000001</v>
      </c>
      <c r="G8" s="80">
        <v>52.984881000000001</v>
      </c>
      <c r="H8" s="80">
        <v>215.25306800000001</v>
      </c>
      <c r="I8" s="81">
        <f t="shared" si="0"/>
        <v>3.0625375378308393</v>
      </c>
      <c r="J8" s="82">
        <f t="shared" si="1"/>
        <v>238.01720140000003</v>
      </c>
      <c r="K8" s="81">
        <f t="shared" si="2"/>
        <v>-9.5640706915731455E-2</v>
      </c>
      <c r="L8" s="83" t="s">
        <v>61</v>
      </c>
      <c r="M8" s="97" t="s">
        <v>62</v>
      </c>
    </row>
    <row r="9" spans="1:13" x14ac:dyDescent="0.3">
      <c r="A9" s="154"/>
      <c r="B9" s="112" t="s">
        <v>89</v>
      </c>
      <c r="C9" s="97" t="s">
        <v>46</v>
      </c>
      <c r="D9" s="80">
        <v>155.818153</v>
      </c>
      <c r="E9" s="80">
        <v>39.083433999999997</v>
      </c>
      <c r="F9" s="80">
        <v>20.175578999999999</v>
      </c>
      <c r="G9" s="80">
        <v>32.682865999999997</v>
      </c>
      <c r="H9" s="80">
        <v>118.019778</v>
      </c>
      <c r="I9" s="81">
        <f t="shared" si="0"/>
        <v>2.6110596298378486</v>
      </c>
      <c r="J9" s="82">
        <f t="shared" si="1"/>
        <v>73.155962000000002</v>
      </c>
      <c r="K9" s="81">
        <f t="shared" si="2"/>
        <v>0.61326260735932903</v>
      </c>
      <c r="L9" s="83" t="s">
        <v>61</v>
      </c>
      <c r="M9" s="97" t="s">
        <v>62</v>
      </c>
    </row>
    <row r="10" spans="1:13" x14ac:dyDescent="0.3">
      <c r="A10" s="154"/>
      <c r="B10" s="112" t="s">
        <v>90</v>
      </c>
      <c r="C10" s="97" t="s">
        <v>46</v>
      </c>
      <c r="D10" s="80">
        <v>44.183309999999999</v>
      </c>
      <c r="E10" s="80">
        <v>64.648719999999997</v>
      </c>
      <c r="F10" s="80">
        <v>14.817441000000001</v>
      </c>
      <c r="G10" s="80">
        <v>8.0937819999999991</v>
      </c>
      <c r="H10" s="80">
        <v>41.505887999999999</v>
      </c>
      <c r="I10" s="81">
        <f t="shared" si="0"/>
        <v>4.1281203274316018</v>
      </c>
      <c r="J10" s="82">
        <f t="shared" si="1"/>
        <v>34.649828200000002</v>
      </c>
      <c r="K10" s="81">
        <f t="shared" si="2"/>
        <v>0.19786706474925597</v>
      </c>
      <c r="L10" s="83" t="s">
        <v>61</v>
      </c>
      <c r="M10" s="97" t="s">
        <v>62</v>
      </c>
    </row>
    <row r="11" spans="1:13" x14ac:dyDescent="0.3">
      <c r="A11" s="154"/>
      <c r="B11" s="112" t="s">
        <v>91</v>
      </c>
      <c r="C11" s="97" t="s">
        <v>46</v>
      </c>
      <c r="D11" s="80">
        <v>252.178417</v>
      </c>
      <c r="E11" s="80">
        <v>189.78343599999999</v>
      </c>
      <c r="F11" s="80">
        <v>0.258162</v>
      </c>
      <c r="G11" s="80">
        <v>0.27210099999999998</v>
      </c>
      <c r="H11" s="80">
        <v>0.80853299999999995</v>
      </c>
      <c r="I11" s="81">
        <f t="shared" si="0"/>
        <v>1.9714444268856051</v>
      </c>
      <c r="J11" s="82">
        <f t="shared" si="1"/>
        <v>88.660129800000021</v>
      </c>
      <c r="K11" s="81">
        <f t="shared" si="2"/>
        <v>-0.99088053444289004</v>
      </c>
      <c r="L11" s="83" t="s">
        <v>61</v>
      </c>
      <c r="M11" s="97" t="s">
        <v>62</v>
      </c>
    </row>
    <row r="12" spans="1:13" x14ac:dyDescent="0.3">
      <c r="A12" s="98" t="s">
        <v>66</v>
      </c>
      <c r="B12" s="88" t="s">
        <v>60</v>
      </c>
      <c r="C12" s="97" t="s">
        <v>46</v>
      </c>
      <c r="D12" s="80">
        <v>12.864756550000001</v>
      </c>
      <c r="E12" s="80">
        <v>16.59131056</v>
      </c>
      <c r="F12" s="80">
        <v>13.4519041</v>
      </c>
      <c r="G12" s="80">
        <v>15.87296199</v>
      </c>
      <c r="H12" s="80">
        <v>15.576629969999999</v>
      </c>
      <c r="I12" s="81">
        <f t="shared" si="0"/>
        <v>-1.8668980634281795E-2</v>
      </c>
      <c r="J12" s="82">
        <f t="shared" si="1"/>
        <v>14.871512633999998</v>
      </c>
      <c r="K12" s="81">
        <f t="shared" si="2"/>
        <v>4.7413962073227678E-2</v>
      </c>
      <c r="L12" s="83" t="s">
        <v>61</v>
      </c>
      <c r="M12" s="97" t="s">
        <v>62</v>
      </c>
    </row>
    <row r="13" spans="1:13" x14ac:dyDescent="0.3">
      <c r="A13" s="98" t="s">
        <v>67</v>
      </c>
      <c r="B13" s="88" t="s">
        <v>60</v>
      </c>
      <c r="C13" s="97" t="s">
        <v>46</v>
      </c>
      <c r="D13" s="80">
        <f t="shared" ref="D13:E13" si="3">+D8-D12</f>
        <v>518.79995944999996</v>
      </c>
      <c r="E13" s="80">
        <f t="shared" si="3"/>
        <v>316.73001144</v>
      </c>
      <c r="F13" s="80">
        <f>+F8-F12</f>
        <v>43.410115900000001</v>
      </c>
      <c r="G13" s="80">
        <f t="shared" ref="G13:H13" si="4">+G8-G12</f>
        <v>37.111919010000001</v>
      </c>
      <c r="H13" s="80">
        <f t="shared" si="4"/>
        <v>199.67643803000001</v>
      </c>
      <c r="I13" s="81">
        <f t="shared" si="0"/>
        <v>4.3803856916209627</v>
      </c>
      <c r="J13" s="82">
        <f t="shared" si="1"/>
        <v>223.14568876600001</v>
      </c>
      <c r="K13" s="81">
        <f t="shared" si="2"/>
        <v>-0.10517456494806332</v>
      </c>
      <c r="L13" s="83" t="s">
        <v>61</v>
      </c>
      <c r="M13" s="97" t="s">
        <v>62</v>
      </c>
    </row>
    <row r="14" spans="1:13" x14ac:dyDescent="0.3">
      <c r="A14" s="13" t="s">
        <v>68</v>
      </c>
    </row>
    <row r="15" spans="1:13" x14ac:dyDescent="0.3">
      <c r="A15" s="13" t="s">
        <v>69</v>
      </c>
    </row>
  </sheetData>
  <mergeCells count="1">
    <mergeCell ref="A8:A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40CE-1980-491E-B017-771633FD54B9}">
  <dimension ref="A1:M16"/>
  <sheetViews>
    <sheetView workbookViewId="0"/>
  </sheetViews>
  <sheetFormatPr defaultRowHeight="14.4" x14ac:dyDescent="0.3"/>
  <cols>
    <col min="1" max="1" width="17.6640625" customWidth="1"/>
    <col min="12" max="12" width="24" bestFit="1" customWidth="1"/>
  </cols>
  <sheetData>
    <row r="1" spans="1:13" x14ac:dyDescent="0.3">
      <c r="A1" s="122" t="s">
        <v>92</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97" t="s">
        <v>46</v>
      </c>
      <c r="D3" s="80">
        <v>714.50016290999997</v>
      </c>
      <c r="E3" s="80">
        <v>487.99958887999998</v>
      </c>
      <c r="F3" s="80">
        <v>156.67385240999999</v>
      </c>
      <c r="G3" s="80">
        <v>134.59418722000001</v>
      </c>
      <c r="H3" s="80">
        <v>844.33886516849054</v>
      </c>
      <c r="I3" s="81">
        <f t="shared" ref="I3:I14" si="0">IF(ISBLANK(H3),"N/A",IF(ISNA(H3/G3-1),"N/A",IF(ISERROR(H3/G3-1),"N/A",H3/G3-1)))</f>
        <v>5.2732193908818825</v>
      </c>
      <c r="J3" s="82">
        <f t="shared" ref="J3:J14" si="1">IF(ISBLANK(H3),"",IF(ISNA(AVERAGE(D3:H3)),"N/A",IF(ISERROR(AVERAGE(D3:H3)),"N/A",AVERAGE(D3:H3))))</f>
        <v>467.62133131769804</v>
      </c>
      <c r="K3" s="94">
        <f t="shared" ref="K3:K14" si="2">IF(ISBLANK(H3),"",IF(ISNA(H3/AVERAGE(D3:H3)-1),"N/A",IF(ISERROR(H3/AVERAGE(D3:H3)-1),"N/A",H3/AVERAGE(D3:H3)-1)))</f>
        <v>0.80560382647483153</v>
      </c>
      <c r="L3" s="78" t="s">
        <v>408</v>
      </c>
      <c r="M3" s="97" t="s">
        <v>47</v>
      </c>
    </row>
    <row r="4" spans="1:13" x14ac:dyDescent="0.3">
      <c r="A4" s="98" t="s">
        <v>48</v>
      </c>
      <c r="B4" s="88"/>
      <c r="C4" s="99" t="s">
        <v>49</v>
      </c>
      <c r="D4" s="105">
        <v>1174.6209999999999</v>
      </c>
      <c r="E4" s="105">
        <v>1244.5119999999999</v>
      </c>
      <c r="F4" s="105">
        <v>669.39200000000005</v>
      </c>
      <c r="G4" s="105">
        <v>391.75000000000006</v>
      </c>
      <c r="H4" s="105">
        <v>838.18600000000004</v>
      </c>
      <c r="I4" s="81">
        <f t="shared" si="0"/>
        <v>1.1395941289087426</v>
      </c>
      <c r="J4" s="82">
        <f t="shared" si="1"/>
        <v>863.69219999999984</v>
      </c>
      <c r="K4" s="94">
        <f t="shared" si="2"/>
        <v>-2.9531585442128305E-2</v>
      </c>
      <c r="L4" s="78" t="s">
        <v>57</v>
      </c>
      <c r="M4" s="97" t="s">
        <v>50</v>
      </c>
    </row>
    <row r="5" spans="1:13" x14ac:dyDescent="0.3">
      <c r="A5" s="98" t="s">
        <v>93</v>
      </c>
      <c r="B5" s="88"/>
      <c r="C5" s="97" t="s">
        <v>52</v>
      </c>
      <c r="D5" s="86">
        <v>1.5889840379555242</v>
      </c>
      <c r="E5" s="86">
        <v>1.0380076091961508</v>
      </c>
      <c r="F5" s="86">
        <v>0.64949319110584347</v>
      </c>
      <c r="G5" s="86">
        <v>0.63043145935501232</v>
      </c>
      <c r="H5" s="83">
        <v>2.25</v>
      </c>
      <c r="I5" s="81">
        <f t="shared" si="0"/>
        <v>2.5689843306708564</v>
      </c>
      <c r="J5" s="82">
        <f t="shared" si="1"/>
        <v>1.2313832595225063</v>
      </c>
      <c r="K5" s="94">
        <f t="shared" si="2"/>
        <v>0.82721340622454376</v>
      </c>
      <c r="L5" s="78" t="s">
        <v>57</v>
      </c>
      <c r="M5" s="97" t="s">
        <v>50</v>
      </c>
    </row>
    <row r="6" spans="1:13" x14ac:dyDescent="0.3">
      <c r="A6" s="98" t="s">
        <v>53</v>
      </c>
      <c r="B6" s="78"/>
      <c r="C6" s="99" t="s">
        <v>54</v>
      </c>
      <c r="D6" s="105">
        <v>2096.6130000000003</v>
      </c>
      <c r="E6" s="105">
        <v>1962.8409999999999</v>
      </c>
      <c r="F6" s="105">
        <v>726.29700000000003</v>
      </c>
      <c r="G6" s="105">
        <v>337.25199999999995</v>
      </c>
      <c r="H6" s="105">
        <v>1991.0639999999999</v>
      </c>
      <c r="I6" s="81">
        <f t="shared" si="0"/>
        <v>4.9037870790981231</v>
      </c>
      <c r="J6" s="82">
        <f t="shared" si="1"/>
        <v>1422.8134000000002</v>
      </c>
      <c r="K6" s="94">
        <f t="shared" si="2"/>
        <v>0.39938518993425243</v>
      </c>
      <c r="L6" s="78" t="s">
        <v>57</v>
      </c>
      <c r="M6" s="97" t="s">
        <v>50</v>
      </c>
    </row>
    <row r="7" spans="1:13" x14ac:dyDescent="0.3">
      <c r="A7" s="98" t="s">
        <v>94</v>
      </c>
      <c r="B7" s="78"/>
      <c r="C7" s="97" t="s">
        <v>56</v>
      </c>
      <c r="D7" s="80">
        <v>559.226</v>
      </c>
      <c r="E7" s="80">
        <v>539.11599999999999</v>
      </c>
      <c r="F7" s="80">
        <v>573.82399999999996</v>
      </c>
      <c r="G7" s="80">
        <v>596.50900000000001</v>
      </c>
      <c r="H7" s="80">
        <v>679.20299999999997</v>
      </c>
      <c r="I7" s="81">
        <f t="shared" si="0"/>
        <v>0.13862992846713129</v>
      </c>
      <c r="J7" s="82">
        <f t="shared" si="1"/>
        <v>589.57560000000001</v>
      </c>
      <c r="K7" s="94">
        <f t="shared" si="2"/>
        <v>0.15202019893631946</v>
      </c>
      <c r="L7" s="106" t="s">
        <v>409</v>
      </c>
      <c r="M7" s="97" t="s">
        <v>58</v>
      </c>
    </row>
    <row r="8" spans="1:13" x14ac:dyDescent="0.3">
      <c r="A8" s="98" t="s">
        <v>95</v>
      </c>
      <c r="B8" s="78"/>
      <c r="C8" s="97" t="s">
        <v>56</v>
      </c>
      <c r="D8" s="80">
        <v>771.97500000000002</v>
      </c>
      <c r="E8" s="80">
        <v>791.50900000000001</v>
      </c>
      <c r="F8" s="80">
        <v>971.851</v>
      </c>
      <c r="G8" s="80">
        <v>870.101</v>
      </c>
      <c r="H8" s="80">
        <v>875</v>
      </c>
      <c r="I8" s="81">
        <f t="shared" si="0"/>
        <v>5.6303808408448841E-3</v>
      </c>
      <c r="J8" s="82">
        <f t="shared" si="1"/>
        <v>856.08719999999994</v>
      </c>
      <c r="K8" s="94">
        <f t="shared" si="2"/>
        <v>2.2092142015439631E-2</v>
      </c>
      <c r="L8" s="106" t="s">
        <v>409</v>
      </c>
      <c r="M8" s="97" t="s">
        <v>58</v>
      </c>
    </row>
    <row r="9" spans="1:13" x14ac:dyDescent="0.3">
      <c r="A9" s="156" t="s">
        <v>59</v>
      </c>
      <c r="B9" s="88" t="s">
        <v>60</v>
      </c>
      <c r="C9" s="97" t="s">
        <v>46</v>
      </c>
      <c r="D9" s="80">
        <v>217.11319700000001</v>
      </c>
      <c r="E9" s="80">
        <v>36.725349999999999</v>
      </c>
      <c r="F9" s="80">
        <v>18.198782999999999</v>
      </c>
      <c r="G9" s="80">
        <v>3.7835220000000001</v>
      </c>
      <c r="H9" s="80">
        <v>448.80657000000002</v>
      </c>
      <c r="I9" s="81">
        <f t="shared" si="0"/>
        <v>117.62137183291125</v>
      </c>
      <c r="J9" s="82">
        <f t="shared" si="1"/>
        <v>144.92548440000002</v>
      </c>
      <c r="K9" s="94">
        <f t="shared" si="2"/>
        <v>2.0968091765094696</v>
      </c>
      <c r="L9" s="78" t="s">
        <v>61</v>
      </c>
      <c r="M9" s="97" t="s">
        <v>62</v>
      </c>
    </row>
    <row r="10" spans="1:13" x14ac:dyDescent="0.3">
      <c r="A10" s="156"/>
      <c r="B10" s="89" t="s">
        <v>96</v>
      </c>
      <c r="C10" s="97" t="s">
        <v>46</v>
      </c>
      <c r="D10" s="80">
        <v>33.314039999999999</v>
      </c>
      <c r="E10" s="80">
        <v>0</v>
      </c>
      <c r="F10" s="80">
        <v>0</v>
      </c>
      <c r="G10" s="80">
        <v>0</v>
      </c>
      <c r="H10" s="80">
        <v>145.15274199999999</v>
      </c>
      <c r="I10" s="81" t="str">
        <f t="shared" si="0"/>
        <v>N/A</v>
      </c>
      <c r="J10" s="82">
        <f t="shared" si="1"/>
        <v>35.693356399999999</v>
      </c>
      <c r="K10" s="94">
        <f t="shared" si="2"/>
        <v>3.0666599233015805</v>
      </c>
      <c r="L10" s="78" t="s">
        <v>61</v>
      </c>
      <c r="M10" s="97" t="s">
        <v>62</v>
      </c>
    </row>
    <row r="11" spans="1:13" x14ac:dyDescent="0.3">
      <c r="A11" s="156"/>
      <c r="B11" s="89" t="s">
        <v>97</v>
      </c>
      <c r="C11" s="97" t="s">
        <v>46</v>
      </c>
      <c r="D11" s="80">
        <v>36.404929000000003</v>
      </c>
      <c r="E11" s="80">
        <v>3.1700000000000001E-4</v>
      </c>
      <c r="F11" s="80">
        <v>0</v>
      </c>
      <c r="G11" s="80">
        <v>0</v>
      </c>
      <c r="H11" s="80">
        <v>124.311142</v>
      </c>
      <c r="I11" s="81" t="str">
        <f t="shared" si="0"/>
        <v>N/A</v>
      </c>
      <c r="J11" s="82">
        <f t="shared" si="1"/>
        <v>32.143277599999998</v>
      </c>
      <c r="K11" s="94">
        <f t="shared" si="2"/>
        <v>2.8674071619877375</v>
      </c>
      <c r="L11" s="78" t="s">
        <v>61</v>
      </c>
      <c r="M11" s="97" t="s">
        <v>62</v>
      </c>
    </row>
    <row r="12" spans="1:13" x14ac:dyDescent="0.3">
      <c r="A12" s="156"/>
      <c r="B12" s="89" t="s">
        <v>98</v>
      </c>
      <c r="C12" s="97" t="s">
        <v>46</v>
      </c>
      <c r="D12" s="80">
        <v>47.186518</v>
      </c>
      <c r="E12" s="80">
        <v>0</v>
      </c>
      <c r="F12" s="80">
        <v>0</v>
      </c>
      <c r="G12" s="80">
        <v>0</v>
      </c>
      <c r="H12" s="80">
        <v>87.201701999999997</v>
      </c>
      <c r="I12" s="81" t="str">
        <f t="shared" si="0"/>
        <v>N/A</v>
      </c>
      <c r="J12" s="82">
        <f t="shared" si="1"/>
        <v>26.877643999999997</v>
      </c>
      <c r="K12" s="94">
        <f t="shared" si="2"/>
        <v>2.2443953048860981</v>
      </c>
      <c r="L12" s="78" t="s">
        <v>61</v>
      </c>
      <c r="M12" s="97" t="s">
        <v>62</v>
      </c>
    </row>
    <row r="13" spans="1:13" x14ac:dyDescent="0.3">
      <c r="A13" s="98" t="s">
        <v>66</v>
      </c>
      <c r="B13" s="88" t="s">
        <v>60</v>
      </c>
      <c r="C13" s="97" t="s">
        <v>46</v>
      </c>
      <c r="D13" s="80">
        <v>15.466135789999999</v>
      </c>
      <c r="E13" s="80">
        <v>13.996165210000001</v>
      </c>
      <c r="F13" s="80">
        <v>18.58545462</v>
      </c>
      <c r="G13" s="80">
        <v>16.394418980000001</v>
      </c>
      <c r="H13" s="80">
        <v>11.732509179999999</v>
      </c>
      <c r="I13" s="81">
        <f t="shared" si="0"/>
        <v>-0.28435956197576706</v>
      </c>
      <c r="J13" s="82">
        <f t="shared" si="1"/>
        <v>15.234936756</v>
      </c>
      <c r="K13" s="94">
        <f t="shared" si="2"/>
        <v>-0.22989446113851664</v>
      </c>
      <c r="L13" s="78" t="s">
        <v>61</v>
      </c>
      <c r="M13" s="97" t="s">
        <v>62</v>
      </c>
    </row>
    <row r="14" spans="1:13" x14ac:dyDescent="0.3">
      <c r="A14" s="98" t="s">
        <v>67</v>
      </c>
      <c r="B14" s="88" t="s">
        <v>60</v>
      </c>
      <c r="C14" s="97" t="s">
        <v>46</v>
      </c>
      <c r="D14" s="80">
        <f>+D9-D13</f>
        <v>201.64706121</v>
      </c>
      <c r="E14" s="80">
        <f t="shared" ref="E14:H14" si="3">+E9-E13</f>
        <v>22.729184789999998</v>
      </c>
      <c r="F14" s="80">
        <f t="shared" si="3"/>
        <v>-0.38667162000000133</v>
      </c>
      <c r="G14" s="80">
        <f t="shared" si="3"/>
        <v>-12.610896980000001</v>
      </c>
      <c r="H14" s="80">
        <f t="shared" si="3"/>
        <v>437.07406082</v>
      </c>
      <c r="I14" s="81">
        <f t="shared" si="0"/>
        <v>-35.658443528098658</v>
      </c>
      <c r="J14" s="82">
        <f t="shared" si="1"/>
        <v>129.69054764399999</v>
      </c>
      <c r="K14" s="94">
        <f t="shared" si="2"/>
        <v>2.3701304278532809</v>
      </c>
      <c r="L14" s="78" t="s">
        <v>61</v>
      </c>
      <c r="M14" s="97" t="s">
        <v>62</v>
      </c>
    </row>
    <row r="15" spans="1:13" x14ac:dyDescent="0.3">
      <c r="A15" s="13" t="s">
        <v>68</v>
      </c>
    </row>
    <row r="16" spans="1:13" x14ac:dyDescent="0.3">
      <c r="A16" s="13" t="s">
        <v>69</v>
      </c>
    </row>
  </sheetData>
  <mergeCells count="1">
    <mergeCell ref="A9:A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41F6-186B-4505-9F08-D4783BE22C3F}">
  <dimension ref="A1:M22"/>
  <sheetViews>
    <sheetView workbookViewId="0"/>
  </sheetViews>
  <sheetFormatPr defaultRowHeight="14.4" x14ac:dyDescent="0.3"/>
  <cols>
    <col min="1" max="1" width="19" customWidth="1"/>
    <col min="2" max="2" width="15.33203125" bestFit="1" customWidth="1"/>
    <col min="3" max="3" width="15.109375" bestFit="1" customWidth="1"/>
    <col min="12" max="12" width="21.44140625" customWidth="1"/>
  </cols>
  <sheetData>
    <row r="1" spans="1:13" x14ac:dyDescent="0.3">
      <c r="A1" s="122" t="s">
        <v>15</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97" t="s">
        <v>46</v>
      </c>
      <c r="D3" s="80">
        <v>1059.4663880000001</v>
      </c>
      <c r="E3" s="80">
        <v>1628.7418164999999</v>
      </c>
      <c r="F3" s="80">
        <v>849.24755063999999</v>
      </c>
      <c r="G3" s="80">
        <v>175.3822188</v>
      </c>
      <c r="H3" s="80">
        <v>847.19904962701719</v>
      </c>
      <c r="I3" s="81">
        <f t="shared" ref="I3:I19" si="0">IF(ISBLANK(H3),"N/A",IF(ISNA(H3/G3-1),"N/A",IF(ISERROR(H3/G3-1),"N/A",H3/G3-1)))</f>
        <v>3.8305869056950099</v>
      </c>
      <c r="J3" s="82">
        <f t="shared" ref="J3:J19" si="1">IF(ISBLANK(H3),"",IF(ISNA(AVERAGE(D3:H3)),"N/A",IF(ISERROR(AVERAGE(D3:H3)),"N/A",AVERAGE(D3:H3))))</f>
        <v>912.00740471340339</v>
      </c>
      <c r="K3" s="81">
        <f t="shared" ref="K3:K19" si="2">IF(ISBLANK(H3),"",IF(ISNA(H3/AVERAGE(D3:H3)-1),"N/A",IF(ISERROR(H3/AVERAGE(D3:H3)-1),"N/A",H3/AVERAGE(D3:H3)-1)))</f>
        <v>-7.1061215897421426E-2</v>
      </c>
      <c r="L3" s="83" t="s">
        <v>408</v>
      </c>
      <c r="M3" s="84" t="s">
        <v>47</v>
      </c>
    </row>
    <row r="4" spans="1:13" x14ac:dyDescent="0.3">
      <c r="A4" s="98" t="s">
        <v>48</v>
      </c>
      <c r="B4" s="88"/>
      <c r="C4" s="99" t="s">
        <v>49</v>
      </c>
      <c r="D4" s="105">
        <v>370</v>
      </c>
      <c r="E4" s="105">
        <v>350.5</v>
      </c>
      <c r="F4" s="105">
        <v>250.4</v>
      </c>
      <c r="G4" s="105">
        <v>54.628999999999998</v>
      </c>
      <c r="H4" s="105">
        <v>192.76</v>
      </c>
      <c r="I4" s="81">
        <f t="shared" si="0"/>
        <v>2.5285288033828186</v>
      </c>
      <c r="J4" s="82">
        <f t="shared" si="1"/>
        <v>243.65780000000001</v>
      </c>
      <c r="K4" s="81">
        <f t="shared" si="2"/>
        <v>-0.20889050135066478</v>
      </c>
      <c r="L4" s="83" t="s">
        <v>57</v>
      </c>
      <c r="M4" s="84" t="s">
        <v>50</v>
      </c>
    </row>
    <row r="5" spans="1:13" x14ac:dyDescent="0.3">
      <c r="A5" s="98" t="s">
        <v>51</v>
      </c>
      <c r="B5" s="88"/>
      <c r="C5" s="97" t="s">
        <v>99</v>
      </c>
      <c r="D5" s="86">
        <f>+D6/D4</f>
        <v>6.8508155732825333</v>
      </c>
      <c r="E5" s="86">
        <f>+E6/E4</f>
        <v>9.2713367310387298</v>
      </c>
      <c r="F5" s="86">
        <f>+F6/F4</f>
        <v>5.6487593418811839</v>
      </c>
      <c r="G5" s="86">
        <f>+G6/G4</f>
        <v>6.7157049679846832</v>
      </c>
      <c r="H5" s="86">
        <f>+H6/H4</f>
        <v>8.8034880287554866</v>
      </c>
      <c r="I5" s="81">
        <f t="shared" si="0"/>
        <v>0.31088069990027067</v>
      </c>
      <c r="J5" s="82">
        <f t="shared" si="1"/>
        <v>7.4580209285885228</v>
      </c>
      <c r="K5" s="81">
        <f t="shared" si="2"/>
        <v>0.18040538006663942</v>
      </c>
      <c r="L5" s="83" t="s">
        <v>57</v>
      </c>
      <c r="M5" s="84" t="s">
        <v>50</v>
      </c>
    </row>
    <row r="6" spans="1:13" x14ac:dyDescent="0.3">
      <c r="A6" s="98" t="s">
        <v>53</v>
      </c>
      <c r="B6" s="78"/>
      <c r="C6" s="99" t="s">
        <v>100</v>
      </c>
      <c r="D6" s="105">
        <v>2534.8017621145373</v>
      </c>
      <c r="E6" s="105">
        <v>3249.603524229075</v>
      </c>
      <c r="F6" s="105">
        <v>1414.4493392070485</v>
      </c>
      <c r="G6" s="105">
        <v>366.87224669603523</v>
      </c>
      <c r="H6" s="105">
        <v>1696.9603524229076</v>
      </c>
      <c r="I6" s="81">
        <f t="shared" si="0"/>
        <v>3.6254803073967343</v>
      </c>
      <c r="J6" s="82">
        <f t="shared" si="1"/>
        <v>1852.5374449339208</v>
      </c>
      <c r="K6" s="81">
        <f t="shared" si="2"/>
        <v>-8.3980538658727455E-2</v>
      </c>
      <c r="L6" s="83" t="s">
        <v>57</v>
      </c>
      <c r="M6" s="84" t="s">
        <v>50</v>
      </c>
    </row>
    <row r="7" spans="1:13" x14ac:dyDescent="0.3">
      <c r="A7" s="98" t="s">
        <v>55</v>
      </c>
      <c r="B7" s="78"/>
      <c r="C7" s="97" t="s">
        <v>101</v>
      </c>
      <c r="D7" s="80">
        <v>492.76479</v>
      </c>
      <c r="E7" s="80">
        <v>600.08585000000005</v>
      </c>
      <c r="F7" s="80">
        <v>619.2650799999999</v>
      </c>
      <c r="G7" s="80">
        <v>558.14760000000001</v>
      </c>
      <c r="H7" s="80">
        <v>582.89741000000004</v>
      </c>
      <c r="I7" s="81">
        <f t="shared" si="0"/>
        <v>4.4342768830323731E-2</v>
      </c>
      <c r="J7" s="82">
        <f t="shared" si="1"/>
        <v>570.63214600000003</v>
      </c>
      <c r="K7" s="81">
        <f t="shared" si="2"/>
        <v>2.1494169380355865E-2</v>
      </c>
      <c r="L7" s="102" t="s">
        <v>409</v>
      </c>
      <c r="M7" s="84" t="s">
        <v>58</v>
      </c>
    </row>
    <row r="8" spans="1:13" x14ac:dyDescent="0.3">
      <c r="A8" s="155" t="s">
        <v>78</v>
      </c>
      <c r="B8" s="78" t="s">
        <v>60</v>
      </c>
      <c r="C8" s="97" t="s">
        <v>46</v>
      </c>
      <c r="D8" s="80">
        <v>731.67857700000002</v>
      </c>
      <c r="E8" s="80">
        <v>928.9</v>
      </c>
      <c r="F8" s="80">
        <v>1113.2</v>
      </c>
      <c r="G8" s="80">
        <v>419.7</v>
      </c>
      <c r="H8" s="80">
        <v>271.10000000000002</v>
      </c>
      <c r="I8" s="81">
        <f t="shared" ref="I8:I13" si="3">IF(ISBLANK(H8),"N/A",IF(ISNA(H8/G8-1),"N/A",IF(ISERROR(H8/G8-1),"N/A",H8/G8-1)))</f>
        <v>-0.3540624255420538</v>
      </c>
      <c r="J8" s="82">
        <v>692.9</v>
      </c>
      <c r="K8" s="81">
        <f t="shared" ref="K8:K13" si="4">IF(ISBLANK(H8),"",IF(ISNA(H8/AVERAGE(D8:H8)-1),"N/A",IF(ISERROR(H8/AVERAGE(D8:H8)-1),"N/A",H8/AVERAGE(D8:H8)-1)))</f>
        <v>-0.60875472445663625</v>
      </c>
      <c r="L8" s="83" t="s">
        <v>61</v>
      </c>
      <c r="M8" s="84" t="s">
        <v>62</v>
      </c>
    </row>
    <row r="9" spans="1:13" x14ac:dyDescent="0.3">
      <c r="A9" s="155"/>
      <c r="B9" s="78" t="s">
        <v>64</v>
      </c>
      <c r="C9" s="97" t="s">
        <v>46</v>
      </c>
      <c r="D9" s="80">
        <v>99.741693999999995</v>
      </c>
      <c r="E9" s="80">
        <v>199.5</v>
      </c>
      <c r="F9" s="80">
        <v>163</v>
      </c>
      <c r="G9" s="80">
        <v>40.4</v>
      </c>
      <c r="H9" s="80">
        <v>76.900000000000006</v>
      </c>
      <c r="I9" s="81">
        <f t="shared" si="3"/>
        <v>0.9034653465346536</v>
      </c>
      <c r="J9" s="82">
        <f t="shared" ref="J9:J13" si="5">IF(ISBLANK(H9),"",IF(ISNA(AVERAGE(D9:H9)),"N/A",IF(ISERROR(AVERAGE(D9:H9)),"N/A",AVERAGE(D9:H9))))</f>
        <v>115.9083388</v>
      </c>
      <c r="K9" s="81">
        <f t="shared" si="4"/>
        <v>-0.33654471458959423</v>
      </c>
      <c r="L9" s="83" t="s">
        <v>61</v>
      </c>
      <c r="M9" s="84" t="s">
        <v>62</v>
      </c>
    </row>
    <row r="10" spans="1:13" x14ac:dyDescent="0.3">
      <c r="A10" s="155"/>
      <c r="B10" s="78" t="s">
        <v>65</v>
      </c>
      <c r="C10" s="97" t="s">
        <v>46</v>
      </c>
      <c r="D10" s="80">
        <v>230.8</v>
      </c>
      <c r="E10" s="80">
        <v>49.5</v>
      </c>
      <c r="F10" s="80">
        <v>391.8</v>
      </c>
      <c r="G10" s="80">
        <v>266.39999999999998</v>
      </c>
      <c r="H10" s="80">
        <v>88</v>
      </c>
      <c r="I10" s="81">
        <f t="shared" si="3"/>
        <v>-0.66966966966966956</v>
      </c>
      <c r="J10" s="82">
        <f>IF(ISBLANK(H10),"",IF(ISNA(AVERAGE(D10:H10)),"N/A",IF(ISERROR(AVERAGE(D10:H10)),"N/A",AVERAGE(D10:H10))))</f>
        <v>205.3</v>
      </c>
      <c r="K10" s="81">
        <f t="shared" si="4"/>
        <v>-0.57135898684851438</v>
      </c>
      <c r="L10" s="83" t="s">
        <v>61</v>
      </c>
      <c r="M10" s="84" t="s">
        <v>62</v>
      </c>
    </row>
    <row r="11" spans="1:13" x14ac:dyDescent="0.3">
      <c r="A11" s="155"/>
      <c r="B11" s="78" t="s">
        <v>63</v>
      </c>
      <c r="C11" s="97" t="s">
        <v>46</v>
      </c>
      <c r="D11" s="80">
        <v>49.2</v>
      </c>
      <c r="E11" s="80">
        <v>12.7</v>
      </c>
      <c r="F11" s="80">
        <v>31</v>
      </c>
      <c r="G11" s="80">
        <v>42.3</v>
      </c>
      <c r="H11" s="80">
        <v>35.299999999999997</v>
      </c>
      <c r="I11" s="81">
        <v>-0.16</v>
      </c>
      <c r="J11" s="82">
        <f t="shared" si="5"/>
        <v>34.1</v>
      </c>
      <c r="K11" s="81">
        <f t="shared" si="4"/>
        <v>3.5190615835777095E-2</v>
      </c>
      <c r="L11" s="83" t="s">
        <v>61</v>
      </c>
      <c r="M11" s="84" t="s">
        <v>62</v>
      </c>
    </row>
    <row r="12" spans="1:13" x14ac:dyDescent="0.3">
      <c r="A12" s="98" t="s">
        <v>74</v>
      </c>
      <c r="B12" s="78" t="s">
        <v>60</v>
      </c>
      <c r="C12" s="97" t="s">
        <v>46</v>
      </c>
      <c r="D12" s="80">
        <v>8.217263000000001E-2</v>
      </c>
      <c r="E12" s="80">
        <v>4.597275E-2</v>
      </c>
      <c r="F12" s="80">
        <v>4.6690769999999999E-2</v>
      </c>
      <c r="G12" s="80">
        <v>1.3557669999999999E-2</v>
      </c>
      <c r="H12" s="80">
        <v>2.2016560000000001E-2</v>
      </c>
      <c r="I12" s="81">
        <f t="shared" si="3"/>
        <v>0.62391915424995603</v>
      </c>
      <c r="J12" s="82">
        <f t="shared" si="5"/>
        <v>4.2082075999999996E-2</v>
      </c>
      <c r="K12" s="81">
        <f t="shared" si="4"/>
        <v>-0.47681858661155396</v>
      </c>
      <c r="L12" s="83" t="s">
        <v>61</v>
      </c>
      <c r="M12" s="84" t="s">
        <v>62</v>
      </c>
    </row>
    <row r="13" spans="1:13" x14ac:dyDescent="0.3">
      <c r="A13" s="98" t="s">
        <v>67</v>
      </c>
      <c r="B13" s="78" t="s">
        <v>60</v>
      </c>
      <c r="C13" s="97" t="s">
        <v>46</v>
      </c>
      <c r="D13" s="80">
        <f>+D8-D12</f>
        <v>731.59640437000007</v>
      </c>
      <c r="E13" s="80">
        <f t="shared" ref="E13:H13" si="6">+E8-E12</f>
        <v>928.85402724999994</v>
      </c>
      <c r="F13" s="80">
        <f t="shared" si="6"/>
        <v>1113.1533092300001</v>
      </c>
      <c r="G13" s="80">
        <f t="shared" si="6"/>
        <v>419.68644232999998</v>
      </c>
      <c r="H13" s="80">
        <f t="shared" si="6"/>
        <v>271.07798344000003</v>
      </c>
      <c r="I13" s="81">
        <f t="shared" si="3"/>
        <v>-0.3540940185366982</v>
      </c>
      <c r="J13" s="82">
        <f t="shared" si="5"/>
        <v>692.87363332400002</v>
      </c>
      <c r="K13" s="81">
        <f t="shared" si="4"/>
        <v>-0.60876273767335132</v>
      </c>
      <c r="L13" s="83" t="s">
        <v>61</v>
      </c>
      <c r="M13" s="84" t="s">
        <v>62</v>
      </c>
    </row>
    <row r="14" spans="1:13" x14ac:dyDescent="0.3">
      <c r="A14" s="154" t="s">
        <v>81</v>
      </c>
      <c r="B14" s="88" t="s">
        <v>60</v>
      </c>
      <c r="C14" s="97" t="s">
        <v>46</v>
      </c>
      <c r="D14" s="80">
        <v>1789.0239329999999</v>
      </c>
      <c r="E14" s="80">
        <v>2132.6137399999998</v>
      </c>
      <c r="F14" s="80">
        <v>2555.625974</v>
      </c>
      <c r="G14" s="80">
        <v>963.52707699999996</v>
      </c>
      <c r="H14" s="80">
        <v>622.36120700000004</v>
      </c>
      <c r="I14" s="81">
        <f t="shared" si="0"/>
        <v>-0.35408021024405523</v>
      </c>
      <c r="J14" s="82">
        <f t="shared" si="1"/>
        <v>1612.6303862</v>
      </c>
      <c r="K14" s="81">
        <f t="shared" si="2"/>
        <v>-0.61407076765648005</v>
      </c>
      <c r="L14" s="83" t="s">
        <v>61</v>
      </c>
      <c r="M14" s="84" t="s">
        <v>62</v>
      </c>
    </row>
    <row r="15" spans="1:13" x14ac:dyDescent="0.3">
      <c r="A15" s="154"/>
      <c r="B15" s="112" t="s">
        <v>65</v>
      </c>
      <c r="C15" s="97" t="s">
        <v>46</v>
      </c>
      <c r="D15" s="80">
        <v>463.821842</v>
      </c>
      <c r="E15" s="80">
        <v>113.54742400000001</v>
      </c>
      <c r="F15" s="80">
        <v>899.50391100000002</v>
      </c>
      <c r="G15" s="80">
        <v>611.518597</v>
      </c>
      <c r="H15" s="80">
        <v>202.03142600000001</v>
      </c>
      <c r="I15" s="81">
        <f t="shared" si="0"/>
        <v>-0.66962341457622099</v>
      </c>
      <c r="J15" s="82">
        <f t="shared" si="1"/>
        <v>458.08463999999992</v>
      </c>
      <c r="K15" s="81">
        <f t="shared" si="2"/>
        <v>-0.55896485418065955</v>
      </c>
      <c r="L15" s="83" t="s">
        <v>61</v>
      </c>
      <c r="M15" s="84" t="s">
        <v>62</v>
      </c>
    </row>
    <row r="16" spans="1:13" x14ac:dyDescent="0.3">
      <c r="A16" s="154"/>
      <c r="B16" s="112" t="s">
        <v>64</v>
      </c>
      <c r="C16" s="97" t="s">
        <v>46</v>
      </c>
      <c r="D16" s="80">
        <v>222.73039900000001</v>
      </c>
      <c r="E16" s="80">
        <v>457.94106599999998</v>
      </c>
      <c r="F16" s="80">
        <v>374.24067500000001</v>
      </c>
      <c r="G16" s="80">
        <v>92.863425000000007</v>
      </c>
      <c r="H16" s="80">
        <v>176.473817</v>
      </c>
      <c r="I16" s="81">
        <f t="shared" si="0"/>
        <v>0.9003586934253176</v>
      </c>
      <c r="J16" s="82">
        <f t="shared" si="1"/>
        <v>264.84987639999997</v>
      </c>
      <c r="K16" s="81">
        <f t="shared" si="2"/>
        <v>-0.33368359691633964</v>
      </c>
      <c r="L16" s="83" t="s">
        <v>61</v>
      </c>
      <c r="M16" s="84" t="s">
        <v>62</v>
      </c>
    </row>
    <row r="17" spans="1:13" x14ac:dyDescent="0.3">
      <c r="A17" s="154"/>
      <c r="B17" s="112" t="s">
        <v>79</v>
      </c>
      <c r="C17" s="97" t="s">
        <v>46</v>
      </c>
      <c r="D17" s="80">
        <v>0</v>
      </c>
      <c r="E17" s="80">
        <v>736.654898</v>
      </c>
      <c r="F17" s="80">
        <v>786.63293199999998</v>
      </c>
      <c r="G17" s="80">
        <v>0</v>
      </c>
      <c r="H17" s="80">
        <v>0</v>
      </c>
      <c r="I17" s="81" t="str">
        <f t="shared" si="0"/>
        <v>N/A</v>
      </c>
      <c r="J17" s="82">
        <f t="shared" si="1"/>
        <v>304.65756599999997</v>
      </c>
      <c r="K17" s="81">
        <f t="shared" si="2"/>
        <v>-1</v>
      </c>
      <c r="L17" s="83" t="s">
        <v>61</v>
      </c>
      <c r="M17" s="84" t="s">
        <v>62</v>
      </c>
    </row>
    <row r="18" spans="1:13" x14ac:dyDescent="0.3">
      <c r="A18" s="98" t="s">
        <v>76</v>
      </c>
      <c r="B18" s="88" t="s">
        <v>60</v>
      </c>
      <c r="C18" s="97" t="s">
        <v>46</v>
      </c>
      <c r="D18" s="80">
        <v>0.29708125000000002</v>
      </c>
      <c r="E18" s="80">
        <v>9.3304449999999997E-2</v>
      </c>
      <c r="F18" s="80">
        <v>0.21883460999999998</v>
      </c>
      <c r="G18" s="80">
        <v>0.18180477000000003</v>
      </c>
      <c r="H18" s="80">
        <v>0.32597077999999996</v>
      </c>
      <c r="I18" s="81">
        <f t="shared" si="0"/>
        <v>0.79297154854627805</v>
      </c>
      <c r="J18" s="82">
        <f t="shared" si="1"/>
        <v>0.22339917200000001</v>
      </c>
      <c r="K18" s="81">
        <f t="shared" si="2"/>
        <v>0.45914050209639967</v>
      </c>
      <c r="L18" s="83" t="s">
        <v>61</v>
      </c>
      <c r="M18" s="84" t="s">
        <v>62</v>
      </c>
    </row>
    <row r="19" spans="1:13" x14ac:dyDescent="0.3">
      <c r="A19" s="98" t="s">
        <v>67</v>
      </c>
      <c r="B19" s="88" t="s">
        <v>60</v>
      </c>
      <c r="C19" s="97" t="s">
        <v>46</v>
      </c>
      <c r="D19" s="80">
        <f>+D14-D18</f>
        <v>1788.7268517499999</v>
      </c>
      <c r="E19" s="80">
        <f t="shared" ref="E19:H19" si="7">+E14-E18</f>
        <v>2132.52043555</v>
      </c>
      <c r="F19" s="80">
        <f t="shared" si="7"/>
        <v>2555.4071393899999</v>
      </c>
      <c r="G19" s="80">
        <f t="shared" si="7"/>
        <v>963.34527222999998</v>
      </c>
      <c r="H19" s="80">
        <f t="shared" si="7"/>
        <v>622.03523622</v>
      </c>
      <c r="I19" s="81">
        <f t="shared" si="0"/>
        <v>-0.35429668453130869</v>
      </c>
      <c r="J19" s="82">
        <f t="shared" si="1"/>
        <v>1612.406987028</v>
      </c>
      <c r="K19" s="81">
        <f t="shared" si="2"/>
        <v>-0.61421946120033888</v>
      </c>
      <c r="L19" s="83" t="s">
        <v>61</v>
      </c>
      <c r="M19" s="84" t="s">
        <v>62</v>
      </c>
    </row>
    <row r="20" spans="1:13" x14ac:dyDescent="0.3">
      <c r="A20" s="13" t="s">
        <v>68</v>
      </c>
    </row>
    <row r="21" spans="1:13" x14ac:dyDescent="0.3">
      <c r="A21" s="13" t="s">
        <v>69</v>
      </c>
    </row>
    <row r="22" spans="1:13" x14ac:dyDescent="0.3">
      <c r="A22" s="13" t="s">
        <v>102</v>
      </c>
    </row>
  </sheetData>
  <mergeCells count="2">
    <mergeCell ref="A14:A17"/>
    <mergeCell ref="A8:A11"/>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383B-AD11-4324-97C5-6D9B2B533E3A}">
  <dimension ref="A1:M16"/>
  <sheetViews>
    <sheetView workbookViewId="0"/>
  </sheetViews>
  <sheetFormatPr defaultRowHeight="14.4" x14ac:dyDescent="0.3"/>
  <cols>
    <col min="1" max="1" width="13.6640625" bestFit="1" customWidth="1"/>
    <col min="2" max="2" width="16.44140625" bestFit="1" customWidth="1"/>
    <col min="12" max="12" width="24" bestFit="1" customWidth="1"/>
  </cols>
  <sheetData>
    <row r="1" spans="1:13" x14ac:dyDescent="0.3">
      <c r="A1" s="122" t="s">
        <v>16</v>
      </c>
      <c r="B1" s="122"/>
      <c r="C1" s="122"/>
      <c r="D1" s="122"/>
      <c r="E1" s="122"/>
      <c r="F1" s="122"/>
      <c r="G1" s="122"/>
      <c r="H1" s="122"/>
      <c r="I1" s="122"/>
      <c r="J1" s="122"/>
      <c r="K1" s="122"/>
      <c r="L1" s="122"/>
      <c r="M1" s="122"/>
    </row>
    <row r="2" spans="1:13" x14ac:dyDescent="0.3">
      <c r="A2" s="118" t="s">
        <v>36</v>
      </c>
      <c r="B2" s="119" t="s">
        <v>37</v>
      </c>
      <c r="C2" s="120" t="s">
        <v>38</v>
      </c>
      <c r="D2" s="119" t="str">
        <f>+'Gross Value of Production'!C1</f>
        <v>2016-17</v>
      </c>
      <c r="E2" s="119" t="str">
        <f>+'Gross Value of Production'!D1</f>
        <v>2017-18</v>
      </c>
      <c r="F2" s="119" t="str">
        <f>+'Gross Value of Production'!E1</f>
        <v>2018-19</v>
      </c>
      <c r="G2" s="119" t="str">
        <f>+'Gross Value of Production'!F1</f>
        <v>2019-20</v>
      </c>
      <c r="H2" s="119" t="s">
        <v>39</v>
      </c>
      <c r="I2" s="121" t="s">
        <v>40</v>
      </c>
      <c r="J2" s="121" t="s">
        <v>41</v>
      </c>
      <c r="K2" s="121" t="s">
        <v>42</v>
      </c>
      <c r="L2" s="119" t="s">
        <v>43</v>
      </c>
      <c r="M2" s="120" t="s">
        <v>44</v>
      </c>
    </row>
    <row r="3" spans="1:13" x14ac:dyDescent="0.3">
      <c r="A3" s="98" t="s">
        <v>45</v>
      </c>
      <c r="B3" s="78"/>
      <c r="C3" s="97" t="s">
        <v>46</v>
      </c>
      <c r="D3" s="80">
        <v>97.194976199999999</v>
      </c>
      <c r="E3" s="80">
        <v>85.097000010000002</v>
      </c>
      <c r="F3" s="80">
        <v>72.715206010000003</v>
      </c>
      <c r="G3" s="80">
        <v>65.325936999999996</v>
      </c>
      <c r="H3" s="80">
        <v>73.602392997145074</v>
      </c>
      <c r="I3" s="81">
        <f t="shared" ref="I3:I14" si="0">IF(ISBLANK(H3),"N/A",IF(ISNA(H3/G3-1),"N/A",IF(ISERROR(H3/G3-1),"N/A",H3/G3-1)))</f>
        <v>0.12669479194986644</v>
      </c>
      <c r="J3" s="82">
        <f t="shared" ref="J3:J14" si="1">IF(ISBLANK(H3),"",IF(ISNA(AVERAGE(D3:H3)),"N/A",IF(ISERROR(AVERAGE(D3:H3)),"N/A",AVERAGE(D3:H3))))</f>
        <v>78.787102443429006</v>
      </c>
      <c r="K3" s="81">
        <f t="shared" ref="K3:K14" si="2">IF(ISBLANK(H3),"",IF(ISNA(H3/AVERAGE(D3:H3)-1),"N/A",IF(ISERROR(H3/AVERAGE(D3:H3)-1),"N/A",H3/AVERAGE(D3:H3)-1)))</f>
        <v>-6.5806576019300511E-2</v>
      </c>
      <c r="L3" s="83" t="s">
        <v>408</v>
      </c>
      <c r="M3" s="84" t="s">
        <v>47</v>
      </c>
    </row>
    <row r="4" spans="1:13" x14ac:dyDescent="0.3">
      <c r="A4" s="98" t="s">
        <v>48</v>
      </c>
      <c r="B4" s="88"/>
      <c r="C4" s="99" t="s">
        <v>49</v>
      </c>
      <c r="D4" s="105">
        <v>16.062999999999999</v>
      </c>
      <c r="E4" s="105">
        <v>15.558</v>
      </c>
      <c r="F4" s="105">
        <v>16.027999999999999</v>
      </c>
      <c r="G4" s="105">
        <v>14.353999999999999</v>
      </c>
      <c r="H4" s="105">
        <v>14.712</v>
      </c>
      <c r="I4" s="81">
        <f t="shared" si="0"/>
        <v>2.4940783056987659E-2</v>
      </c>
      <c r="J4" s="82">
        <f t="shared" si="1"/>
        <v>15.343</v>
      </c>
      <c r="K4" s="81">
        <f t="shared" si="2"/>
        <v>-4.1126246496773766E-2</v>
      </c>
      <c r="L4" s="102" t="s">
        <v>103</v>
      </c>
      <c r="M4" s="101" t="s">
        <v>104</v>
      </c>
    </row>
    <row r="5" spans="1:13" x14ac:dyDescent="0.3">
      <c r="A5" s="98" t="s">
        <v>51</v>
      </c>
      <c r="B5" s="88"/>
      <c r="C5" s="97" t="s">
        <v>105</v>
      </c>
      <c r="D5" s="86">
        <f>+D6/D4</f>
        <v>130.79001431862045</v>
      </c>
      <c r="E5" s="86">
        <f>+E6/E4</f>
        <v>120.70960277670652</v>
      </c>
      <c r="F5" s="86">
        <f>+F6/F4</f>
        <v>124.99307461941602</v>
      </c>
      <c r="G5" s="86">
        <f>+G6/G4</f>
        <v>111.52814546467884</v>
      </c>
      <c r="H5" s="86">
        <f>+H6/H4</f>
        <v>118.54458945078848</v>
      </c>
      <c r="I5" s="81">
        <f t="shared" si="0"/>
        <v>6.2911868182473851E-2</v>
      </c>
      <c r="J5" s="82">
        <f t="shared" si="1"/>
        <v>121.31308532604207</v>
      </c>
      <c r="K5" s="81">
        <f t="shared" si="2"/>
        <v>-2.2821082060628162E-2</v>
      </c>
      <c r="L5" s="102" t="s">
        <v>103</v>
      </c>
      <c r="M5" s="101" t="s">
        <v>104</v>
      </c>
    </row>
    <row r="6" spans="1:13" x14ac:dyDescent="0.3">
      <c r="A6" s="98" t="s">
        <v>53</v>
      </c>
      <c r="B6" s="78"/>
      <c r="C6" s="99" t="s">
        <v>106</v>
      </c>
      <c r="D6" s="105">
        <v>2100.88</v>
      </c>
      <c r="E6" s="105">
        <v>1878</v>
      </c>
      <c r="F6" s="105">
        <v>2003.3889999999999</v>
      </c>
      <c r="G6" s="105">
        <v>1600.875</v>
      </c>
      <c r="H6" s="105">
        <v>1744.028</v>
      </c>
      <c r="I6" s="81">
        <f t="shared" si="0"/>
        <v>8.9421722495510281E-2</v>
      </c>
      <c r="J6" s="82">
        <f t="shared" si="1"/>
        <v>1865.4344000000001</v>
      </c>
      <c r="K6" s="81">
        <f t="shared" si="2"/>
        <v>-6.5082106344774182E-2</v>
      </c>
      <c r="L6" s="102" t="s">
        <v>103</v>
      </c>
      <c r="M6" s="101" t="s">
        <v>104</v>
      </c>
    </row>
    <row r="7" spans="1:13" x14ac:dyDescent="0.3">
      <c r="A7" s="98" t="s">
        <v>107</v>
      </c>
      <c r="B7" s="78"/>
      <c r="C7" s="99" t="s">
        <v>108</v>
      </c>
      <c r="D7" s="105">
        <v>257.654</v>
      </c>
      <c r="E7" s="105">
        <v>226.316</v>
      </c>
      <c r="F7" s="105">
        <v>245.67400000000001</v>
      </c>
      <c r="G7" s="105">
        <v>198.38900000000001</v>
      </c>
      <c r="H7" s="105">
        <v>210.10300000000001</v>
      </c>
      <c r="I7" s="81">
        <f t="shared" si="0"/>
        <v>5.9045612407945924E-2</v>
      </c>
      <c r="J7" s="82">
        <f t="shared" si="1"/>
        <v>227.62719999999999</v>
      </c>
      <c r="K7" s="81">
        <f t="shared" si="2"/>
        <v>-7.6986405842535466E-2</v>
      </c>
      <c r="L7" s="102" t="s">
        <v>103</v>
      </c>
      <c r="M7" s="101" t="s">
        <v>104</v>
      </c>
    </row>
    <row r="8" spans="1:13" x14ac:dyDescent="0.3">
      <c r="A8" s="98" t="s">
        <v>55</v>
      </c>
      <c r="B8" s="78"/>
      <c r="C8" s="97" t="s">
        <v>56</v>
      </c>
      <c r="D8" s="80">
        <v>44.430999999999997</v>
      </c>
      <c r="E8" s="80">
        <v>39.378999999999998</v>
      </c>
      <c r="F8" s="80">
        <v>39.026000000000003</v>
      </c>
      <c r="G8" s="80">
        <v>41.387</v>
      </c>
      <c r="H8" s="80">
        <v>42.802999999999997</v>
      </c>
      <c r="I8" s="81">
        <f t="shared" si="0"/>
        <v>3.4213641964868202E-2</v>
      </c>
      <c r="J8" s="82">
        <f t="shared" si="1"/>
        <v>41.405200000000001</v>
      </c>
      <c r="K8" s="81">
        <f t="shared" si="2"/>
        <v>3.3759044757663226E-2</v>
      </c>
      <c r="L8" s="102" t="s">
        <v>409</v>
      </c>
      <c r="M8" s="84" t="s">
        <v>58</v>
      </c>
    </row>
    <row r="9" spans="1:13" x14ac:dyDescent="0.3">
      <c r="A9" s="156" t="s">
        <v>59</v>
      </c>
      <c r="B9" s="88" t="s">
        <v>60</v>
      </c>
      <c r="C9" s="97" t="s">
        <v>46</v>
      </c>
      <c r="D9" s="80">
        <v>3.2253769999999999</v>
      </c>
      <c r="E9" s="80">
        <v>1.589742</v>
      </c>
      <c r="F9" s="80">
        <v>1.925125</v>
      </c>
      <c r="G9" s="80">
        <v>2.7363599999999999</v>
      </c>
      <c r="H9" s="80">
        <v>1.7270749999999999</v>
      </c>
      <c r="I9" s="81">
        <f t="shared" si="0"/>
        <v>-0.36884218450788642</v>
      </c>
      <c r="J9" s="82">
        <f t="shared" si="1"/>
        <v>2.2407357999999999</v>
      </c>
      <c r="K9" s="81">
        <f t="shared" si="2"/>
        <v>-0.22923755669900936</v>
      </c>
      <c r="L9" s="83" t="s">
        <v>61</v>
      </c>
      <c r="M9" s="84" t="s">
        <v>62</v>
      </c>
    </row>
    <row r="10" spans="1:13" x14ac:dyDescent="0.3">
      <c r="A10" s="156"/>
      <c r="B10" s="112" t="s">
        <v>109</v>
      </c>
      <c r="C10" s="97" t="s">
        <v>46</v>
      </c>
      <c r="D10" s="80">
        <v>1.400142</v>
      </c>
      <c r="E10" s="80">
        <v>0.34904499999999999</v>
      </c>
      <c r="F10" s="80">
        <v>0.35948400000000003</v>
      </c>
      <c r="G10" s="80">
        <v>1.6306259999999999</v>
      </c>
      <c r="H10" s="80">
        <v>1.4304140000000001</v>
      </c>
      <c r="I10" s="81">
        <f t="shared" si="0"/>
        <v>-0.12278229342596025</v>
      </c>
      <c r="J10" s="82">
        <f t="shared" si="1"/>
        <v>1.0339422</v>
      </c>
      <c r="K10" s="81">
        <f t="shared" si="2"/>
        <v>0.38345644466392814</v>
      </c>
      <c r="L10" s="83" t="s">
        <v>61</v>
      </c>
      <c r="M10" s="84" t="s">
        <v>62</v>
      </c>
    </row>
    <row r="11" spans="1:13" x14ac:dyDescent="0.3">
      <c r="A11" s="156"/>
      <c r="B11" s="112" t="s">
        <v>80</v>
      </c>
      <c r="C11" s="97" t="s">
        <v>46</v>
      </c>
      <c r="D11" s="80">
        <v>0.13613900000000001</v>
      </c>
      <c r="E11" s="80">
        <v>4.8055E-2</v>
      </c>
      <c r="F11" s="80">
        <v>0.678817</v>
      </c>
      <c r="G11" s="80">
        <v>4.8578000000000003E-2</v>
      </c>
      <c r="H11" s="80">
        <v>2.1724E-2</v>
      </c>
      <c r="I11" s="81">
        <f t="shared" si="0"/>
        <v>-0.55280167977273664</v>
      </c>
      <c r="J11" s="82">
        <f t="shared" si="1"/>
        <v>0.18666259999999998</v>
      </c>
      <c r="K11" s="81">
        <f t="shared" si="2"/>
        <v>-0.88361889312588593</v>
      </c>
      <c r="L11" s="83" t="s">
        <v>61</v>
      </c>
      <c r="M11" s="84" t="s">
        <v>62</v>
      </c>
    </row>
    <row r="12" spans="1:13" x14ac:dyDescent="0.3">
      <c r="A12" s="156"/>
      <c r="B12" s="112" t="s">
        <v>110</v>
      </c>
      <c r="C12" s="97" t="s">
        <v>46</v>
      </c>
      <c r="D12" s="80">
        <v>0.260494</v>
      </c>
      <c r="E12" s="80">
        <v>0.54203500000000004</v>
      </c>
      <c r="F12" s="80">
        <v>0.32985599999999998</v>
      </c>
      <c r="G12" s="80">
        <v>0</v>
      </c>
      <c r="H12" s="80">
        <v>6.2000000000000003E-5</v>
      </c>
      <c r="I12" s="81" t="str">
        <f t="shared" si="0"/>
        <v>N/A</v>
      </c>
      <c r="J12" s="82">
        <f t="shared" si="1"/>
        <v>0.22648940000000001</v>
      </c>
      <c r="K12" s="81">
        <f t="shared" si="2"/>
        <v>-0.99972625650471947</v>
      </c>
      <c r="L12" s="83" t="s">
        <v>61</v>
      </c>
      <c r="M12" s="84" t="s">
        <v>62</v>
      </c>
    </row>
    <row r="13" spans="1:13" x14ac:dyDescent="0.3">
      <c r="A13" s="98" t="s">
        <v>66</v>
      </c>
      <c r="B13" s="88" t="s">
        <v>60</v>
      </c>
      <c r="C13" s="97" t="s">
        <v>46</v>
      </c>
      <c r="D13" s="80">
        <v>4.9748002899999992</v>
      </c>
      <c r="E13" s="80">
        <v>4.7792166199999997</v>
      </c>
      <c r="F13" s="80">
        <v>3.8138064000000003</v>
      </c>
      <c r="G13" s="80">
        <v>4.2599990700000001</v>
      </c>
      <c r="H13" s="80">
        <v>3.3358472300000002</v>
      </c>
      <c r="I13" s="81">
        <f t="shared" si="0"/>
        <v>-0.21693709900269997</v>
      </c>
      <c r="J13" s="82">
        <f t="shared" si="1"/>
        <v>4.2327339219999995</v>
      </c>
      <c r="K13" s="81">
        <f t="shared" si="2"/>
        <v>-0.21189300072427264</v>
      </c>
      <c r="L13" s="83" t="s">
        <v>61</v>
      </c>
      <c r="M13" s="84" t="s">
        <v>62</v>
      </c>
    </row>
    <row r="14" spans="1:13" x14ac:dyDescent="0.3">
      <c r="A14" s="98" t="s">
        <v>67</v>
      </c>
      <c r="B14" s="88" t="s">
        <v>60</v>
      </c>
      <c r="C14" s="97" t="s">
        <v>46</v>
      </c>
      <c r="D14" s="80">
        <f>+D9-D13</f>
        <v>-1.7494232899999993</v>
      </c>
      <c r="E14" s="80">
        <f t="shared" ref="E14:H14" si="3">+E9-E13</f>
        <v>-3.1894746199999995</v>
      </c>
      <c r="F14" s="80">
        <f t="shared" si="3"/>
        <v>-1.8886814000000003</v>
      </c>
      <c r="G14" s="80">
        <f t="shared" si="3"/>
        <v>-1.5236390700000002</v>
      </c>
      <c r="H14" s="80">
        <f t="shared" si="3"/>
        <v>-1.6087722300000002</v>
      </c>
      <c r="I14" s="81">
        <f t="shared" si="0"/>
        <v>5.5874886432257131E-2</v>
      </c>
      <c r="J14" s="82">
        <f t="shared" si="1"/>
        <v>-1.9919981219999996</v>
      </c>
      <c r="K14" s="81">
        <f t="shared" si="2"/>
        <v>-0.19238265727642057</v>
      </c>
      <c r="L14" s="83" t="s">
        <v>61</v>
      </c>
      <c r="M14" s="84" t="s">
        <v>62</v>
      </c>
    </row>
    <row r="15" spans="1:13" x14ac:dyDescent="0.3">
      <c r="A15" s="13" t="s">
        <v>68</v>
      </c>
    </row>
    <row r="16" spans="1:13" x14ac:dyDescent="0.3">
      <c r="A16" s="13" t="s">
        <v>69</v>
      </c>
    </row>
  </sheetData>
  <mergeCells count="1">
    <mergeCell ref="A9:A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Cover Sheet</vt:lpstr>
      <vt:lpstr>Wheat</vt:lpstr>
      <vt:lpstr>Barley</vt:lpstr>
      <vt:lpstr>Rice</vt:lpstr>
      <vt:lpstr>Coarse Grains</vt:lpstr>
      <vt:lpstr>Pulses</vt:lpstr>
      <vt:lpstr>Oilseeds</vt:lpstr>
      <vt:lpstr>Cotton Lint</vt:lpstr>
      <vt:lpstr>Sugarcane</vt:lpstr>
      <vt:lpstr>Horticulture</vt:lpstr>
      <vt:lpstr>Wine</vt:lpstr>
      <vt:lpstr>Beef</vt:lpstr>
      <vt:lpstr>Sheep Meat</vt:lpstr>
      <vt:lpstr>Goat Meat</vt:lpstr>
      <vt:lpstr>Pork</vt:lpstr>
      <vt:lpstr>Poultry</vt:lpstr>
      <vt:lpstr>Wool</vt:lpstr>
      <vt:lpstr>Eggs</vt:lpstr>
      <vt:lpstr>Milk</vt:lpstr>
      <vt:lpstr>Forestry</vt:lpstr>
      <vt:lpstr>Fisheries</vt:lpstr>
      <vt:lpstr>Gross Value of Production</vt:lpstr>
      <vt:lpstr>Production</vt:lpstr>
      <vt:lpstr>Prices</vt:lpstr>
      <vt:lpstr>Exports</vt:lpstr>
      <vt:lpstr>Imports &amp; Trade Balance</vt:lpstr>
      <vt:lpstr>Employment &amp; Businesses</vt:lpstr>
      <vt:lpstr>Endnotes</vt:lpstr>
    </vt:vector>
  </TitlesOfParts>
  <Manager/>
  <Company>NSW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Niall Cummings</dc:creator>
  <cp:keywords/>
  <dc:description/>
  <cp:lastModifiedBy>Niall Cummings</cp:lastModifiedBy>
  <cp:revision/>
  <dcterms:created xsi:type="dcterms:W3CDTF">2021-09-27T10:49:57Z</dcterms:created>
  <dcterms:modified xsi:type="dcterms:W3CDTF">2021-12-22T05:22:49Z</dcterms:modified>
  <cp:category/>
  <cp:contentStatus/>
</cp:coreProperties>
</file>