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nvironmentnswgov.sharepoint.com/sites/MST_SDP_StrategyandEconomics/Shared Documents/Economics Insights &amp; Analysis/IIA/PDI 2025/Content/Data Tables/"/>
    </mc:Choice>
  </mc:AlternateContent>
  <xr:revisionPtr revIDLastSave="1" documentId="8_{05818DED-2BE5-4347-BDD3-07E9AD5E176D}" xr6:coauthVersionLast="47" xr6:coauthVersionMax="47" xr10:uidLastSave="{BEE8E700-D6D0-4BF3-8D32-B9F38654968E}"/>
  <bookViews>
    <workbookView xWindow="-108" yWindow="-108" windowWidth="23256" windowHeight="13896" tabRatio="776" xr2:uid="{CBCE8E07-5E39-46E2-AC5D-B2C08697AC7A}"/>
  </bookViews>
  <sheets>
    <sheet name="Cover Sheet" sheetId="1" r:id="rId1"/>
    <sheet name="Wheat" sheetId="3" r:id="rId2"/>
    <sheet name="Barley" sheetId="4" r:id="rId3"/>
    <sheet name="Rice" sheetId="5" r:id="rId4"/>
    <sheet name="Coarse Grains" sheetId="6" r:id="rId5"/>
    <sheet name="Pulses" sheetId="7" r:id="rId6"/>
    <sheet name="Oilseeds" sheetId="8" r:id="rId7"/>
    <sheet name="Cotton Lint" sheetId="9" r:id="rId8"/>
    <sheet name="Sugarcane" sheetId="10" r:id="rId9"/>
    <sheet name="Horticulture" sheetId="11" r:id="rId10"/>
    <sheet name="Wine" sheetId="12" r:id="rId11"/>
    <sheet name="Beef" sheetId="13" r:id="rId12"/>
    <sheet name="Sheep Meat" sheetId="14" r:id="rId13"/>
    <sheet name="Goat Meat" sheetId="15" r:id="rId14"/>
    <sheet name="Pork" sheetId="16" r:id="rId15"/>
    <sheet name="Poultry" sheetId="17" r:id="rId16"/>
    <sheet name="Wool" sheetId="18" r:id="rId17"/>
    <sheet name="Eggs" sheetId="19" r:id="rId18"/>
    <sheet name="Milk" sheetId="20" r:id="rId19"/>
    <sheet name="Forestry" sheetId="21" r:id="rId20"/>
    <sheet name="Fisheries" sheetId="22" r:id="rId21"/>
    <sheet name="Gross Value of Production" sheetId="2" r:id="rId22"/>
    <sheet name="Production" sheetId="23" r:id="rId23"/>
    <sheet name="Prices" sheetId="24" r:id="rId24"/>
    <sheet name="Exports" sheetId="25" r:id="rId25"/>
    <sheet name="Imports &amp; Trade Balance" sheetId="26" r:id="rId26"/>
    <sheet name="Employment &amp; Businesses" sheetId="27" r:id="rId27"/>
    <sheet name="Endnotes"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6" l="1"/>
  <c r="J59" i="26"/>
  <c r="L26" i="24" l="1"/>
  <c r="K16" i="2" l="1"/>
  <c r="K15" i="2"/>
  <c r="K14" i="2"/>
  <c r="K13" i="2"/>
  <c r="J5" i="15" l="1"/>
  <c r="I6" i="13"/>
  <c r="J6" i="13"/>
  <c r="K6" i="13"/>
  <c r="K7" i="18" l="1"/>
  <c r="J7" i="18"/>
  <c r="G6" i="22" l="1"/>
  <c r="F6" i="22"/>
  <c r="D4" i="22" l="1"/>
  <c r="E4" i="22"/>
  <c r="F4" i="22"/>
  <c r="G4" i="22"/>
  <c r="K8" i="6" l="1"/>
  <c r="J8" i="6"/>
  <c r="I8" i="6"/>
  <c r="D5" i="3" l="1"/>
  <c r="F5" i="3" l="1"/>
  <c r="G5" i="3"/>
  <c r="E5" i="3"/>
  <c r="D5" i="9" l="1"/>
  <c r="F5" i="9"/>
  <c r="E5" i="9"/>
  <c r="G5" i="9"/>
  <c r="G5" i="7"/>
  <c r="E5" i="6"/>
  <c r="D5" i="6"/>
  <c r="G5" i="6"/>
  <c r="G5" i="5"/>
  <c r="F5" i="5"/>
  <c r="D5" i="4"/>
  <c r="I4" i="3"/>
  <c r="D5" i="7" l="1"/>
  <c r="E5" i="7"/>
  <c r="D5" i="5"/>
  <c r="F5" i="7"/>
  <c r="E5" i="5"/>
  <c r="E5" i="4"/>
  <c r="F5" i="4"/>
  <c r="G5" i="4"/>
  <c r="F5" i="6"/>
  <c r="K4" i="3"/>
  <c r="J4" i="3"/>
  <c r="I13" i="11"/>
  <c r="G15" i="27" l="1"/>
  <c r="F15" i="27"/>
  <c r="E15" i="27"/>
  <c r="D15" i="27"/>
  <c r="G9" i="24" l="1"/>
  <c r="F9" i="24"/>
  <c r="E9" i="24"/>
  <c r="D9" i="24"/>
  <c r="C9" i="24"/>
  <c r="I8" i="18" l="1"/>
  <c r="J8" i="18"/>
  <c r="K8" i="18"/>
  <c r="A8" i="25" l="1"/>
  <c r="D11" i="21"/>
  <c r="D10" i="21"/>
  <c r="E11" i="21"/>
  <c r="E10" i="21"/>
  <c r="F11" i="21"/>
  <c r="F10" i="21"/>
  <c r="G11" i="21"/>
  <c r="G10" i="21"/>
  <c r="I7" i="9"/>
  <c r="E10" i="13" l="1"/>
  <c r="D10" i="13"/>
  <c r="F10" i="13"/>
  <c r="G10" i="13"/>
  <c r="H10" i="13"/>
  <c r="H5" i="7" l="1"/>
  <c r="H5" i="6"/>
  <c r="H5" i="5"/>
  <c r="H5" i="4"/>
  <c r="H5" i="3"/>
  <c r="H5" i="9" l="1"/>
  <c r="I7" i="21"/>
  <c r="L32" i="23"/>
  <c r="K32" i="23"/>
  <c r="G32" i="23"/>
  <c r="L31" i="23"/>
  <c r="K31" i="23"/>
  <c r="G31" i="23"/>
  <c r="L30" i="23"/>
  <c r="K30" i="23"/>
  <c r="G30" i="23"/>
  <c r="L29" i="23"/>
  <c r="K29" i="23"/>
  <c r="G29" i="23"/>
  <c r="K19" i="23"/>
  <c r="L19" i="23"/>
  <c r="K20" i="23"/>
  <c r="L20" i="23"/>
  <c r="K21" i="23"/>
  <c r="L21" i="23"/>
  <c r="K22" i="23"/>
  <c r="L22" i="23"/>
  <c r="K23" i="23"/>
  <c r="L23" i="23"/>
  <c r="K24" i="23"/>
  <c r="L24" i="23"/>
  <c r="G25" i="23"/>
  <c r="K25" i="23"/>
  <c r="L25" i="23"/>
  <c r="K26" i="23"/>
  <c r="L26" i="23"/>
  <c r="L17" i="23"/>
  <c r="K17" i="23"/>
  <c r="G17" i="23"/>
  <c r="L16" i="23"/>
  <c r="K16" i="23"/>
  <c r="G16" i="23"/>
  <c r="L15" i="23"/>
  <c r="K15" i="23"/>
  <c r="G15" i="23"/>
  <c r="L14" i="23"/>
  <c r="K14" i="23"/>
  <c r="G14" i="23"/>
  <c r="L13" i="23"/>
  <c r="K13" i="23"/>
  <c r="G13" i="23"/>
  <c r="L12" i="23"/>
  <c r="K12" i="23"/>
  <c r="G12" i="23"/>
  <c r="L10" i="24"/>
  <c r="K10" i="24"/>
  <c r="G70" i="23" l="1"/>
  <c r="G69" i="23"/>
  <c r="G68" i="23"/>
  <c r="G67" i="23"/>
  <c r="G66" i="23"/>
  <c r="F64" i="23"/>
  <c r="G64" i="23"/>
  <c r="G63" i="23"/>
  <c r="G62" i="23"/>
  <c r="L10" i="23" l="1"/>
  <c r="K10" i="23"/>
  <c r="L9" i="23"/>
  <c r="K9" i="23"/>
  <c r="L8" i="23"/>
  <c r="K8" i="23"/>
  <c r="L7" i="23"/>
  <c r="K7" i="23"/>
  <c r="L6" i="23"/>
  <c r="K6" i="23"/>
  <c r="L5" i="23"/>
  <c r="K5" i="23"/>
  <c r="L4" i="23"/>
  <c r="K4" i="23"/>
  <c r="L3" i="23"/>
  <c r="K3" i="23"/>
  <c r="L28" i="23"/>
  <c r="K28" i="23"/>
  <c r="L10" i="26" l="1"/>
  <c r="K10" i="26"/>
  <c r="L9" i="26"/>
  <c r="K9" i="26"/>
  <c r="L8" i="26"/>
  <c r="K8" i="26"/>
  <c r="L7" i="26"/>
  <c r="K7" i="26"/>
  <c r="L6" i="26"/>
  <c r="K6" i="26"/>
  <c r="L5" i="26"/>
  <c r="K5" i="26"/>
  <c r="L4" i="26"/>
  <c r="K4" i="26"/>
  <c r="L3" i="26"/>
  <c r="K3" i="26"/>
  <c r="L13" i="26"/>
  <c r="K13" i="26"/>
  <c r="L12" i="26"/>
  <c r="K12" i="26"/>
  <c r="L22" i="26"/>
  <c r="K22" i="26"/>
  <c r="L21" i="26"/>
  <c r="K21" i="26"/>
  <c r="L20" i="26"/>
  <c r="K20" i="26"/>
  <c r="L19" i="26"/>
  <c r="K19" i="26"/>
  <c r="L18" i="26"/>
  <c r="K18" i="26"/>
  <c r="L17" i="26"/>
  <c r="K17" i="26"/>
  <c r="L16" i="26"/>
  <c r="K16" i="26"/>
  <c r="L15" i="26"/>
  <c r="K15" i="26"/>
  <c r="L25" i="26"/>
  <c r="K25" i="26"/>
  <c r="L24" i="26"/>
  <c r="K24" i="26"/>
  <c r="K26" i="24"/>
  <c r="L25" i="24"/>
  <c r="K25" i="24"/>
  <c r="L24" i="24"/>
  <c r="K24" i="24"/>
  <c r="L23" i="24"/>
  <c r="K23" i="24"/>
  <c r="L22" i="24"/>
  <c r="K22" i="24"/>
  <c r="L21" i="24"/>
  <c r="K21" i="24"/>
  <c r="L20" i="24"/>
  <c r="K20" i="24"/>
  <c r="L19" i="24"/>
  <c r="K19" i="24"/>
  <c r="L18" i="24"/>
  <c r="K18" i="24"/>
  <c r="L17" i="24"/>
  <c r="K17" i="24"/>
  <c r="L16" i="24"/>
  <c r="K16" i="24"/>
  <c r="L58" i="26"/>
  <c r="K58" i="26"/>
  <c r="L57" i="26"/>
  <c r="K57" i="26"/>
  <c r="L55" i="26"/>
  <c r="K55" i="26"/>
  <c r="L54" i="26"/>
  <c r="K54" i="26"/>
  <c r="L53" i="26"/>
  <c r="K53" i="26"/>
  <c r="L52" i="26"/>
  <c r="K52" i="26"/>
  <c r="L51" i="26"/>
  <c r="K51" i="26"/>
  <c r="L50" i="26"/>
  <c r="K50" i="26"/>
  <c r="L49" i="26"/>
  <c r="K49" i="26"/>
  <c r="L48" i="26"/>
  <c r="K48" i="26"/>
  <c r="L46" i="26"/>
  <c r="K46" i="26"/>
  <c r="L45" i="26"/>
  <c r="K45" i="26"/>
  <c r="L43" i="26"/>
  <c r="K43" i="26"/>
  <c r="L42" i="26"/>
  <c r="K42" i="26"/>
  <c r="L41" i="26"/>
  <c r="K41" i="26"/>
  <c r="L40" i="26"/>
  <c r="K40" i="26"/>
  <c r="L39" i="26"/>
  <c r="K39" i="26"/>
  <c r="L38" i="26"/>
  <c r="K38" i="26"/>
  <c r="L37" i="26"/>
  <c r="K37" i="26"/>
  <c r="L36" i="26"/>
  <c r="K36" i="26"/>
  <c r="L84" i="25"/>
  <c r="K84" i="25"/>
  <c r="L83" i="25"/>
  <c r="K83" i="25"/>
  <c r="L82" i="25"/>
  <c r="K82" i="25"/>
  <c r="L81" i="25"/>
  <c r="K81" i="25"/>
  <c r="L80" i="25"/>
  <c r="K80" i="25"/>
  <c r="L79" i="25"/>
  <c r="K79" i="25"/>
  <c r="L78" i="25"/>
  <c r="K78" i="25"/>
  <c r="L77" i="25"/>
  <c r="K77" i="25"/>
  <c r="L75" i="25"/>
  <c r="K75" i="25"/>
  <c r="L74" i="25"/>
  <c r="K74" i="25"/>
  <c r="L73" i="25"/>
  <c r="K73" i="25"/>
  <c r="L72" i="25"/>
  <c r="K72" i="25"/>
  <c r="L71" i="25"/>
  <c r="K71" i="25"/>
  <c r="L70" i="25"/>
  <c r="K70" i="25"/>
  <c r="L69" i="25"/>
  <c r="K69" i="25"/>
  <c r="L68" i="25"/>
  <c r="K68" i="25"/>
  <c r="L67" i="25"/>
  <c r="K67" i="25"/>
  <c r="L66" i="25"/>
  <c r="K66" i="25"/>
  <c r="L65" i="25"/>
  <c r="K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50" i="25"/>
  <c r="K50" i="25"/>
  <c r="L49" i="25"/>
  <c r="K49" i="25"/>
  <c r="L48" i="25"/>
  <c r="K48" i="25"/>
  <c r="L47" i="25"/>
  <c r="K47" i="25"/>
  <c r="L46" i="25"/>
  <c r="K46" i="25"/>
  <c r="L45" i="25"/>
  <c r="K45" i="25"/>
  <c r="L44" i="25"/>
  <c r="K44" i="25"/>
  <c r="L42" i="25"/>
  <c r="K42" i="25"/>
  <c r="L41" i="25"/>
  <c r="K41" i="25"/>
  <c r="L40" i="25"/>
  <c r="K40" i="25"/>
  <c r="L39" i="25"/>
  <c r="K39" i="25"/>
  <c r="L38" i="25"/>
  <c r="K38" i="25"/>
  <c r="L37" i="25"/>
  <c r="K37" i="25"/>
  <c r="L36" i="25"/>
  <c r="K36" i="25"/>
  <c r="L35" i="25"/>
  <c r="K35" i="25"/>
  <c r="L33" i="25"/>
  <c r="K33" i="25"/>
  <c r="L32" i="25"/>
  <c r="K32" i="25"/>
  <c r="L31" i="25"/>
  <c r="K31" i="25"/>
  <c r="L30" i="25"/>
  <c r="K30" i="25"/>
  <c r="L29" i="25"/>
  <c r="K29" i="25"/>
  <c r="L28" i="25"/>
  <c r="K28" i="25"/>
  <c r="L27" i="25"/>
  <c r="K27" i="25"/>
  <c r="L26" i="25"/>
  <c r="K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6" i="25"/>
  <c r="K6" i="25"/>
  <c r="L5" i="25"/>
  <c r="K5" i="25"/>
  <c r="L4" i="25"/>
  <c r="K4" i="25"/>
  <c r="L3" i="25"/>
  <c r="K3" i="25"/>
  <c r="L30" i="24"/>
  <c r="K30" i="24"/>
  <c r="L29" i="24"/>
  <c r="K29" i="24"/>
  <c r="L28" i="24"/>
  <c r="K28" i="24"/>
  <c r="L14" i="24"/>
  <c r="K14" i="24"/>
  <c r="L13" i="24"/>
  <c r="K13" i="24"/>
  <c r="L12" i="24"/>
  <c r="K12" i="24"/>
  <c r="L9" i="24"/>
  <c r="K9" i="24"/>
  <c r="L8" i="24"/>
  <c r="K8" i="24"/>
  <c r="L7" i="24"/>
  <c r="K7" i="24"/>
  <c r="L6" i="24"/>
  <c r="K6" i="24"/>
  <c r="L5" i="24"/>
  <c r="K5" i="24"/>
  <c r="L4" i="24"/>
  <c r="K4" i="24"/>
  <c r="L3" i="24"/>
  <c r="K3" i="24"/>
  <c r="L54" i="23"/>
  <c r="K54" i="23"/>
  <c r="L53" i="23"/>
  <c r="K53" i="23"/>
  <c r="H53" i="23"/>
  <c r="L50" i="23"/>
  <c r="K50" i="23"/>
  <c r="L49" i="23"/>
  <c r="K49" i="23"/>
  <c r="L48" i="23"/>
  <c r="K48" i="23"/>
  <c r="L47" i="23"/>
  <c r="K47" i="23"/>
  <c r="L46" i="23"/>
  <c r="K46" i="23"/>
  <c r="L45" i="23"/>
  <c r="K45" i="23"/>
  <c r="L44" i="23"/>
  <c r="K44" i="23"/>
  <c r="L43" i="23"/>
  <c r="K43" i="23"/>
  <c r="L70" i="23"/>
  <c r="K70" i="23"/>
  <c r="L69" i="23"/>
  <c r="K69" i="23"/>
  <c r="L68" i="23"/>
  <c r="K68" i="23"/>
  <c r="L67" i="23"/>
  <c r="K67" i="23"/>
  <c r="L66" i="23"/>
  <c r="K66" i="23"/>
  <c r="L65" i="23"/>
  <c r="K65" i="23"/>
  <c r="L64" i="23"/>
  <c r="K64" i="23"/>
  <c r="L63" i="23"/>
  <c r="K63" i="23"/>
  <c r="L62" i="23"/>
  <c r="K62" i="23"/>
  <c r="L31" i="2"/>
  <c r="K31" i="2"/>
  <c r="L30" i="2"/>
  <c r="K30" i="2"/>
  <c r="L29" i="2"/>
  <c r="K29" i="2"/>
  <c r="L28" i="2"/>
  <c r="K28" i="2"/>
  <c r="L25" i="2"/>
  <c r="K25" i="2"/>
  <c r="L24" i="2"/>
  <c r="K24" i="2"/>
  <c r="L23" i="2"/>
  <c r="K23" i="2"/>
  <c r="L22" i="2"/>
  <c r="K22" i="2"/>
  <c r="L21" i="2"/>
  <c r="K21" i="2"/>
  <c r="L20" i="2"/>
  <c r="K20" i="2"/>
  <c r="L19" i="2"/>
  <c r="K19" i="2"/>
  <c r="L18" i="2"/>
  <c r="K18" i="2"/>
  <c r="L16" i="2"/>
  <c r="L15" i="2"/>
  <c r="L14" i="2"/>
  <c r="L13" i="2"/>
  <c r="L10" i="2"/>
  <c r="K10" i="2"/>
  <c r="L9" i="2"/>
  <c r="K9" i="2"/>
  <c r="L8" i="2"/>
  <c r="K8" i="2"/>
  <c r="L7" i="2"/>
  <c r="K7" i="2"/>
  <c r="L6" i="2"/>
  <c r="K6" i="2"/>
  <c r="L5" i="2"/>
  <c r="K5" i="2"/>
  <c r="L4" i="2"/>
  <c r="K4" i="2"/>
  <c r="L3" i="2"/>
  <c r="K3" i="2"/>
  <c r="G65" i="23" l="1"/>
  <c r="G41" i="23"/>
  <c r="G54" i="23"/>
  <c r="F54" i="23"/>
  <c r="G53" i="23"/>
  <c r="F53" i="23"/>
  <c r="D60" i="26" l="1"/>
  <c r="C60" i="26"/>
  <c r="J27" i="26"/>
  <c r="I27" i="26"/>
  <c r="H27" i="26"/>
  <c r="G60" i="26"/>
  <c r="E60" i="26"/>
  <c r="F60" i="26"/>
  <c r="G9" i="26"/>
  <c r="F29" i="25"/>
  <c r="E29" i="25"/>
  <c r="D29" i="25"/>
  <c r="G28" i="25"/>
  <c r="F28" i="25"/>
  <c r="E28" i="25"/>
  <c r="G27" i="25"/>
  <c r="F27" i="25"/>
  <c r="E27" i="25"/>
  <c r="D27" i="25"/>
  <c r="F26" i="25"/>
  <c r="E26" i="25"/>
  <c r="D26" i="25"/>
  <c r="C9" i="26"/>
  <c r="A27" i="25"/>
  <c r="A28" i="25"/>
  <c r="A29" i="25"/>
  <c r="C29" i="25"/>
  <c r="C28" i="25"/>
  <c r="C27" i="25"/>
  <c r="G4" i="26"/>
  <c r="F4" i="26"/>
  <c r="E4" i="26"/>
  <c r="D4" i="26"/>
  <c r="G10" i="25"/>
  <c r="E10" i="25"/>
  <c r="D10" i="25"/>
  <c r="G9" i="25"/>
  <c r="F9" i="25"/>
  <c r="E9" i="25"/>
  <c r="D9" i="25"/>
  <c r="G8" i="25"/>
  <c r="F8" i="25"/>
  <c r="E8" i="25"/>
  <c r="D8" i="25"/>
  <c r="G7" i="25"/>
  <c r="E7" i="25"/>
  <c r="D7" i="25"/>
  <c r="C4" i="26"/>
  <c r="A9" i="25"/>
  <c r="A10" i="25"/>
  <c r="C10" i="25"/>
  <c r="C9" i="25"/>
  <c r="C7" i="25"/>
  <c r="G5" i="26"/>
  <c r="F5" i="26"/>
  <c r="C5" i="26"/>
  <c r="G13" i="25"/>
  <c r="E13" i="25"/>
  <c r="F12" i="25"/>
  <c r="E12" i="25"/>
  <c r="D12" i="25"/>
  <c r="G11" i="25"/>
  <c r="G12" i="5"/>
  <c r="E11" i="25"/>
  <c r="D11" i="25"/>
  <c r="C13" i="25"/>
  <c r="C12" i="25"/>
  <c r="A13" i="25"/>
  <c r="A12" i="25"/>
  <c r="C11" i="25"/>
  <c r="G13" i="4" l="1"/>
  <c r="J9" i="5"/>
  <c r="K11" i="4"/>
  <c r="I11" i="9"/>
  <c r="K10" i="5"/>
  <c r="I10" i="5"/>
  <c r="D13" i="9"/>
  <c r="C42" i="26" s="1"/>
  <c r="G29" i="25"/>
  <c r="D13" i="4"/>
  <c r="C37" i="26" s="1"/>
  <c r="H12" i="5"/>
  <c r="I12" i="5" s="1"/>
  <c r="I11" i="4"/>
  <c r="J9" i="4"/>
  <c r="K10" i="9"/>
  <c r="I10" i="9"/>
  <c r="J11" i="9"/>
  <c r="H13" i="4"/>
  <c r="F7" i="25"/>
  <c r="I8" i="5"/>
  <c r="I8" i="4"/>
  <c r="I12" i="4"/>
  <c r="H4" i="26" s="1"/>
  <c r="J8" i="5"/>
  <c r="J8" i="4"/>
  <c r="J12" i="4"/>
  <c r="I4" i="26" s="1"/>
  <c r="I9" i="9"/>
  <c r="J8" i="9"/>
  <c r="G26" i="25"/>
  <c r="C8" i="25"/>
  <c r="G12" i="25"/>
  <c r="K11" i="5"/>
  <c r="J5" i="26" s="1"/>
  <c r="K8" i="5"/>
  <c r="K8" i="4"/>
  <c r="K12" i="4"/>
  <c r="J4" i="26" s="1"/>
  <c r="J9" i="9"/>
  <c r="K12" i="9"/>
  <c r="J9" i="26" s="1"/>
  <c r="D9" i="26"/>
  <c r="F10" i="25"/>
  <c r="I9" i="5"/>
  <c r="I9" i="4"/>
  <c r="F13" i="9"/>
  <c r="E9" i="26"/>
  <c r="D28" i="25"/>
  <c r="D13" i="25"/>
  <c r="D12" i="5"/>
  <c r="C38" i="26" s="1"/>
  <c r="K9" i="5"/>
  <c r="K9" i="4"/>
  <c r="K11" i="9"/>
  <c r="K9" i="9"/>
  <c r="F13" i="25"/>
  <c r="I10" i="4"/>
  <c r="G13" i="9"/>
  <c r="F9" i="26"/>
  <c r="C26" i="25"/>
  <c r="F12" i="5"/>
  <c r="E5" i="26"/>
  <c r="J10" i="5"/>
  <c r="J10" i="4"/>
  <c r="J12" i="9"/>
  <c r="I9" i="26" s="1"/>
  <c r="F11" i="25"/>
  <c r="E13" i="4"/>
  <c r="K10" i="4"/>
  <c r="E12" i="5"/>
  <c r="D5" i="26"/>
  <c r="I11" i="5"/>
  <c r="H5" i="26" s="1"/>
  <c r="F13" i="4"/>
  <c r="I12" i="9"/>
  <c r="H9" i="26" s="1"/>
  <c r="J11" i="5"/>
  <c r="I5" i="26" s="1"/>
  <c r="J11" i="4"/>
  <c r="K8" i="9"/>
  <c r="J10" i="9"/>
  <c r="I8" i="9"/>
  <c r="E13" i="9"/>
  <c r="H13" i="9"/>
  <c r="J13" i="9" l="1"/>
  <c r="I13" i="4"/>
  <c r="K13" i="4"/>
  <c r="J12" i="5"/>
  <c r="J13" i="4"/>
  <c r="K12" i="5"/>
  <c r="K13" i="9"/>
  <c r="I13" i="9"/>
  <c r="K6" i="22" l="1"/>
  <c r="J30" i="23" s="1"/>
  <c r="J6" i="22"/>
  <c r="I30" i="23" s="1"/>
  <c r="I6" i="22"/>
  <c r="H30" i="23" s="1"/>
  <c r="I6" i="21"/>
  <c r="H54" i="23" s="1"/>
  <c r="K8" i="20"/>
  <c r="J8" i="20"/>
  <c r="I26" i="24" s="1"/>
  <c r="I8" i="20"/>
  <c r="H26" i="24" s="1"/>
  <c r="I5" i="18"/>
  <c r="I5" i="14"/>
  <c r="I6" i="18"/>
  <c r="D64" i="23"/>
  <c r="D63" i="23"/>
  <c r="E63" i="23"/>
  <c r="E64" i="23"/>
  <c r="F63" i="23"/>
  <c r="I6" i="14"/>
  <c r="C63" i="23"/>
  <c r="C64" i="23"/>
  <c r="I86" i="25"/>
  <c r="H86" i="25"/>
  <c r="J86" i="25"/>
  <c r="K6" i="14" l="1"/>
  <c r="K6" i="18"/>
  <c r="J5" i="14"/>
  <c r="K5" i="14"/>
  <c r="J4" i="14"/>
  <c r="I64" i="23" s="1"/>
  <c r="K4" i="14"/>
  <c r="J64" i="23" s="1"/>
  <c r="J6" i="14"/>
  <c r="J6" i="18"/>
  <c r="I4" i="14"/>
  <c r="H64" i="23" s="1"/>
  <c r="G29" i="24"/>
  <c r="G28" i="24"/>
  <c r="G26" i="24"/>
  <c r="F26" i="24"/>
  <c r="E26" i="24"/>
  <c r="D26" i="24"/>
  <c r="E19" i="24"/>
  <c r="G18" i="24"/>
  <c r="F16" i="24"/>
  <c r="E16" i="24"/>
  <c r="G21" i="24"/>
  <c r="F21" i="24"/>
  <c r="E21" i="24"/>
  <c r="D21" i="24"/>
  <c r="G20" i="24"/>
  <c r="F20" i="24"/>
  <c r="E20" i="24"/>
  <c r="D20" i="24"/>
  <c r="F19" i="24"/>
  <c r="D19" i="24"/>
  <c r="G16" i="24"/>
  <c r="D16" i="24"/>
  <c r="F18" i="24"/>
  <c r="E18" i="24"/>
  <c r="D18" i="24"/>
  <c r="G17" i="24"/>
  <c r="F17" i="24"/>
  <c r="E17" i="24"/>
  <c r="D17" i="24"/>
  <c r="F29" i="23"/>
  <c r="G28" i="23"/>
  <c r="F31" i="23"/>
  <c r="F30" i="23"/>
  <c r="E30" i="23"/>
  <c r="D30" i="23"/>
  <c r="D31" i="23"/>
  <c r="E31" i="23"/>
  <c r="I7" i="22"/>
  <c r="H31" i="23" s="1"/>
  <c r="D32" i="23"/>
  <c r="E32" i="23"/>
  <c r="I8" i="22"/>
  <c r="H32" i="23" s="1"/>
  <c r="D29" i="24"/>
  <c r="E29" i="24"/>
  <c r="I11" i="21"/>
  <c r="E28" i="24"/>
  <c r="D28" i="24"/>
  <c r="I10" i="21"/>
  <c r="E29" i="23"/>
  <c r="E28" i="23"/>
  <c r="C28" i="23"/>
  <c r="I9" i="21"/>
  <c r="H29" i="23" s="1"/>
  <c r="I8" i="21"/>
  <c r="H28" i="23" s="1"/>
  <c r="D53" i="23"/>
  <c r="D54" i="23"/>
  <c r="E53" i="23"/>
  <c r="E54" i="23"/>
  <c r="D65" i="23"/>
  <c r="F29" i="24" l="1"/>
  <c r="K11" i="21"/>
  <c r="J11" i="21"/>
  <c r="K13" i="13"/>
  <c r="J13" i="13"/>
  <c r="I18" i="24" s="1"/>
  <c r="I13" i="13"/>
  <c r="H18" i="24" s="1"/>
  <c r="K8" i="21"/>
  <c r="J28" i="23" s="1"/>
  <c r="J8" i="21"/>
  <c r="I28" i="23" s="1"/>
  <c r="K9" i="21"/>
  <c r="J29" i="23" s="1"/>
  <c r="J9" i="21"/>
  <c r="I29" i="23" s="1"/>
  <c r="C29" i="23"/>
  <c r="G19" i="24"/>
  <c r="I9" i="14"/>
  <c r="H19" i="24" s="1"/>
  <c r="K9" i="14"/>
  <c r="J9" i="14"/>
  <c r="I19" i="24" s="1"/>
  <c r="K8" i="22"/>
  <c r="J32" i="23" s="1"/>
  <c r="J8" i="22"/>
  <c r="I32" i="23" s="1"/>
  <c r="K10" i="14"/>
  <c r="J10" i="14"/>
  <c r="I20" i="24" s="1"/>
  <c r="I10" i="14"/>
  <c r="H20" i="24" s="1"/>
  <c r="K6" i="21"/>
  <c r="J54" i="23" s="1"/>
  <c r="J6" i="21"/>
  <c r="I54" i="23" s="1"/>
  <c r="F65" i="23"/>
  <c r="I4" i="18"/>
  <c r="H65" i="23" s="1"/>
  <c r="K10" i="21"/>
  <c r="J10" i="21"/>
  <c r="F32" i="23"/>
  <c r="I11" i="13"/>
  <c r="H16" i="24" s="1"/>
  <c r="K11" i="13"/>
  <c r="J11" i="13"/>
  <c r="I16" i="24" s="1"/>
  <c r="F28" i="24"/>
  <c r="C53" i="23"/>
  <c r="K7" i="21"/>
  <c r="J53" i="23" s="1"/>
  <c r="J7" i="21"/>
  <c r="I53" i="23" s="1"/>
  <c r="K7" i="22"/>
  <c r="J31" i="23" s="1"/>
  <c r="J7" i="22"/>
  <c r="I31" i="23" s="1"/>
  <c r="F28" i="23"/>
  <c r="K12" i="13"/>
  <c r="J12" i="13"/>
  <c r="I17" i="24" s="1"/>
  <c r="I12" i="13"/>
  <c r="H17" i="24" s="1"/>
  <c r="C31" i="23"/>
  <c r="I5" i="15"/>
  <c r="H21" i="24" s="1"/>
  <c r="K5" i="15"/>
  <c r="I21" i="24"/>
  <c r="E65" i="23"/>
  <c r="J4" i="18" l="1"/>
  <c r="I65" i="23" s="1"/>
  <c r="K4" i="18"/>
  <c r="J65" i="23" s="1"/>
  <c r="G24" i="24" l="1"/>
  <c r="J9" i="18"/>
  <c r="I24" i="24" s="1"/>
  <c r="D24" i="24"/>
  <c r="E24" i="24"/>
  <c r="F24" i="24"/>
  <c r="G24" i="23"/>
  <c r="F24" i="23"/>
  <c r="E24" i="23"/>
  <c r="D24" i="23"/>
  <c r="C24" i="23"/>
  <c r="I4" i="17" l="1"/>
  <c r="F67" i="23"/>
  <c r="H24" i="23"/>
  <c r="I24" i="23"/>
  <c r="J24" i="23"/>
  <c r="I7" i="18"/>
  <c r="K9" i="18"/>
  <c r="I9" i="18"/>
  <c r="H24" i="24" s="1"/>
  <c r="K5" i="18"/>
  <c r="J5" i="18"/>
  <c r="E67" i="23"/>
  <c r="D67" i="23"/>
  <c r="C67" i="23"/>
  <c r="F23" i="24"/>
  <c r="E23" i="24"/>
  <c r="D23" i="24"/>
  <c r="G23" i="23"/>
  <c r="F23" i="23"/>
  <c r="E23" i="23"/>
  <c r="D23" i="23"/>
  <c r="C23" i="23"/>
  <c r="E26" i="23"/>
  <c r="F26" i="23"/>
  <c r="G26" i="23"/>
  <c r="E70" i="23"/>
  <c r="D70" i="23"/>
  <c r="C70" i="23"/>
  <c r="E69" i="23"/>
  <c r="D69" i="23"/>
  <c r="C69" i="23"/>
  <c r="I6" i="20"/>
  <c r="F69" i="23"/>
  <c r="I6" i="19"/>
  <c r="E25" i="23"/>
  <c r="D25" i="23"/>
  <c r="E68" i="23"/>
  <c r="D68" i="23"/>
  <c r="C68" i="23"/>
  <c r="D22" i="24"/>
  <c r="E22" i="24"/>
  <c r="F22" i="24"/>
  <c r="I4" i="19" l="1"/>
  <c r="F68" i="23"/>
  <c r="I4" i="16"/>
  <c r="F66" i="23"/>
  <c r="I5" i="20"/>
  <c r="F70" i="23"/>
  <c r="H26" i="23"/>
  <c r="H23" i="23"/>
  <c r="I23" i="23"/>
  <c r="J23" i="23"/>
  <c r="K4" i="17"/>
  <c r="J4" i="17"/>
  <c r="K5" i="20"/>
  <c r="J5" i="20"/>
  <c r="C25" i="23"/>
  <c r="K5" i="19"/>
  <c r="J5" i="19"/>
  <c r="K6" i="19"/>
  <c r="J6" i="19"/>
  <c r="K4" i="20"/>
  <c r="J70" i="23" s="1"/>
  <c r="J4" i="20"/>
  <c r="I70" i="23" s="1"/>
  <c r="K6" i="20"/>
  <c r="J6" i="20"/>
  <c r="F25" i="23"/>
  <c r="H25" i="23" s="1"/>
  <c r="I5" i="19"/>
  <c r="I5" i="17"/>
  <c r="K5" i="17"/>
  <c r="J5" i="17"/>
  <c r="I4" i="20"/>
  <c r="H70" i="23" s="1"/>
  <c r="K9" i="20"/>
  <c r="J9" i="20"/>
  <c r="I9" i="20"/>
  <c r="K4" i="19"/>
  <c r="J4" i="19"/>
  <c r="I7" i="20"/>
  <c r="K7" i="20"/>
  <c r="J7" i="20"/>
  <c r="D26" i="23"/>
  <c r="G22" i="24"/>
  <c r="K6" i="16"/>
  <c r="J6" i="16"/>
  <c r="I22" i="24" s="1"/>
  <c r="I6" i="16"/>
  <c r="H22" i="24" s="1"/>
  <c r="G23" i="24"/>
  <c r="K6" i="17"/>
  <c r="J6" i="17"/>
  <c r="I23" i="24" s="1"/>
  <c r="I6" i="17"/>
  <c r="H23" i="24" s="1"/>
  <c r="K7" i="19"/>
  <c r="J7" i="19"/>
  <c r="I7" i="19"/>
  <c r="E66" i="23"/>
  <c r="D66" i="23"/>
  <c r="C66" i="23"/>
  <c r="G22" i="23"/>
  <c r="F22" i="23"/>
  <c r="E22" i="23"/>
  <c r="D22" i="23"/>
  <c r="C22" i="23"/>
  <c r="D21" i="23"/>
  <c r="C21" i="23"/>
  <c r="G21" i="23"/>
  <c r="F21" i="23"/>
  <c r="E21" i="23"/>
  <c r="G19" i="23"/>
  <c r="F19" i="23"/>
  <c r="E19" i="23"/>
  <c r="D19" i="23"/>
  <c r="I7" i="13"/>
  <c r="E62" i="23"/>
  <c r="D62" i="23"/>
  <c r="C62" i="23"/>
  <c r="F14" i="24"/>
  <c r="E12" i="23"/>
  <c r="I4" i="12"/>
  <c r="H19" i="23" l="1"/>
  <c r="G20" i="23"/>
  <c r="I22" i="23"/>
  <c r="H22" i="23"/>
  <c r="J22" i="23"/>
  <c r="I25" i="23"/>
  <c r="J25" i="23"/>
  <c r="C20" i="23"/>
  <c r="H21" i="23"/>
  <c r="I21" i="23"/>
  <c r="J21" i="23"/>
  <c r="I5" i="13"/>
  <c r="F62" i="23"/>
  <c r="E20" i="23"/>
  <c r="K5" i="16"/>
  <c r="J5" i="16"/>
  <c r="I5" i="16"/>
  <c r="K4" i="13"/>
  <c r="J62" i="23" s="1"/>
  <c r="J4" i="13"/>
  <c r="I62" i="23" s="1"/>
  <c r="I4" i="13"/>
  <c r="H62" i="23" s="1"/>
  <c r="I8" i="14"/>
  <c r="K8" i="14"/>
  <c r="J8" i="14"/>
  <c r="K4" i="16"/>
  <c r="J4" i="16"/>
  <c r="C17" i="23"/>
  <c r="K4" i="15"/>
  <c r="J4" i="15"/>
  <c r="I4" i="15"/>
  <c r="K8" i="13"/>
  <c r="J8" i="13"/>
  <c r="I8" i="13"/>
  <c r="K5" i="13"/>
  <c r="J5" i="13"/>
  <c r="F20" i="23"/>
  <c r="K7" i="14"/>
  <c r="J7" i="14"/>
  <c r="I7" i="14"/>
  <c r="D20" i="23"/>
  <c r="F17" i="23"/>
  <c r="I6" i="12"/>
  <c r="H17" i="23" s="1"/>
  <c r="K7" i="13"/>
  <c r="J7" i="13"/>
  <c r="K9" i="13"/>
  <c r="J9" i="13"/>
  <c r="I9" i="13"/>
  <c r="I10" i="13"/>
  <c r="K10" i="13"/>
  <c r="J10" i="13"/>
  <c r="G14" i="24"/>
  <c r="I7" i="12"/>
  <c r="E17" i="23"/>
  <c r="I5" i="12"/>
  <c r="D17" i="23"/>
  <c r="J20" i="23" l="1"/>
  <c r="I20" i="23"/>
  <c r="H20" i="23"/>
  <c r="F12" i="23"/>
  <c r="I7" i="11"/>
  <c r="H12" i="23" s="1"/>
  <c r="F13" i="23"/>
  <c r="I8" i="11"/>
  <c r="H13" i="23" s="1"/>
  <c r="F15" i="23"/>
  <c r="I10" i="11"/>
  <c r="H15" i="23" s="1"/>
  <c r="F14" i="23"/>
  <c r="I9" i="11"/>
  <c r="H14" i="23" s="1"/>
  <c r="J6" i="12"/>
  <c r="I17" i="23" s="1"/>
  <c r="K6" i="12"/>
  <c r="J17" i="23" s="1"/>
  <c r="F16" i="23"/>
  <c r="I11" i="11"/>
  <c r="H16" i="23" s="1"/>
  <c r="K4" i="12"/>
  <c r="J4" i="12"/>
  <c r="E16" i="23"/>
  <c r="D16" i="23"/>
  <c r="E15" i="23"/>
  <c r="D15" i="23"/>
  <c r="E14" i="23"/>
  <c r="D14" i="23"/>
  <c r="E13" i="23"/>
  <c r="D13" i="23"/>
  <c r="D12" i="23"/>
  <c r="F13" i="24"/>
  <c r="E13" i="24"/>
  <c r="D13" i="24"/>
  <c r="F12" i="24"/>
  <c r="E12" i="24"/>
  <c r="D12" i="24"/>
  <c r="C30" i="24"/>
  <c r="F31" i="2"/>
  <c r="D31" i="2"/>
  <c r="E30" i="2"/>
  <c r="C31" i="2"/>
  <c r="C30" i="2"/>
  <c r="F28" i="2"/>
  <c r="E28" i="2"/>
  <c r="D28" i="2"/>
  <c r="C29" i="2"/>
  <c r="C21" i="2"/>
  <c r="C22" i="2"/>
  <c r="F23" i="2"/>
  <c r="E23" i="2"/>
  <c r="D23" i="2"/>
  <c r="C23" i="2"/>
  <c r="C24" i="2"/>
  <c r="C25" i="2"/>
  <c r="F18" i="2"/>
  <c r="E18" i="2"/>
  <c r="D18" i="2"/>
  <c r="C18" i="2"/>
  <c r="D25" i="26"/>
  <c r="E25" i="26"/>
  <c r="G84" i="25"/>
  <c r="F84" i="25"/>
  <c r="E84" i="25"/>
  <c r="D84" i="25"/>
  <c r="G83" i="25"/>
  <c r="F83" i="25"/>
  <c r="E83" i="25"/>
  <c r="D83" i="25"/>
  <c r="G82" i="25"/>
  <c r="F82" i="25"/>
  <c r="E82" i="25"/>
  <c r="D82" i="25"/>
  <c r="G81" i="25"/>
  <c r="F81" i="25"/>
  <c r="E81" i="25"/>
  <c r="D81" i="25"/>
  <c r="F22" i="26"/>
  <c r="E22" i="26"/>
  <c r="D22" i="26"/>
  <c r="G73" i="25"/>
  <c r="F73" i="25"/>
  <c r="E73" i="25"/>
  <c r="D73" i="25"/>
  <c r="G72" i="25"/>
  <c r="F72" i="25"/>
  <c r="E72" i="25"/>
  <c r="D72" i="25"/>
  <c r="G75" i="25"/>
  <c r="F75" i="25"/>
  <c r="E75" i="25"/>
  <c r="D75" i="25"/>
  <c r="G74" i="25"/>
  <c r="F74" i="25"/>
  <c r="E74" i="25"/>
  <c r="D74" i="25"/>
  <c r="F24" i="26"/>
  <c r="D24" i="26"/>
  <c r="G80" i="25"/>
  <c r="F80" i="25"/>
  <c r="E80" i="25"/>
  <c r="D80" i="25"/>
  <c r="G79" i="25"/>
  <c r="F79" i="25"/>
  <c r="E79" i="25"/>
  <c r="D79" i="25"/>
  <c r="G78" i="25"/>
  <c r="F78" i="25"/>
  <c r="E78" i="25"/>
  <c r="D78" i="25"/>
  <c r="E77" i="25"/>
  <c r="F21" i="26"/>
  <c r="E21" i="26"/>
  <c r="D21" i="26"/>
  <c r="G71" i="25"/>
  <c r="F71" i="25"/>
  <c r="E71" i="25"/>
  <c r="D71" i="25"/>
  <c r="G70" i="25"/>
  <c r="F70" i="25"/>
  <c r="E70" i="25"/>
  <c r="D70" i="25"/>
  <c r="G69" i="25"/>
  <c r="F69" i="25"/>
  <c r="E69" i="25"/>
  <c r="D69" i="25"/>
  <c r="G68" i="25"/>
  <c r="D68" i="25"/>
  <c r="F20" i="26"/>
  <c r="E20" i="26"/>
  <c r="D20" i="26"/>
  <c r="G67" i="25"/>
  <c r="F67" i="25"/>
  <c r="E67" i="25"/>
  <c r="D67" i="25"/>
  <c r="G66" i="25"/>
  <c r="F66" i="25"/>
  <c r="E66" i="25"/>
  <c r="D66" i="25"/>
  <c r="G65" i="25"/>
  <c r="F65" i="25"/>
  <c r="E65" i="25"/>
  <c r="D65" i="25"/>
  <c r="G64" i="25"/>
  <c r="F64" i="25"/>
  <c r="E64" i="25"/>
  <c r="D64" i="25"/>
  <c r="F19" i="26"/>
  <c r="E19" i="26"/>
  <c r="D19" i="26"/>
  <c r="G63" i="25"/>
  <c r="F63" i="25"/>
  <c r="E63" i="25"/>
  <c r="D63" i="25"/>
  <c r="G62" i="25"/>
  <c r="F62" i="25"/>
  <c r="E62" i="25"/>
  <c r="D62" i="25"/>
  <c r="G61" i="25"/>
  <c r="F61" i="25"/>
  <c r="E61" i="25"/>
  <c r="D61" i="25"/>
  <c r="G60" i="25"/>
  <c r="F60" i="25"/>
  <c r="E60" i="25"/>
  <c r="D60" i="25"/>
  <c r="G59" i="25"/>
  <c r="F59" i="25"/>
  <c r="E59" i="25"/>
  <c r="D59" i="25"/>
  <c r="G58" i="25"/>
  <c r="F58" i="25"/>
  <c r="E58" i="25"/>
  <c r="D58" i="25"/>
  <c r="G57" i="25"/>
  <c r="F57" i="25"/>
  <c r="E57" i="25"/>
  <c r="D57" i="25"/>
  <c r="G56" i="25"/>
  <c r="F56" i="25"/>
  <c r="E56" i="25"/>
  <c r="D56" i="25"/>
  <c r="F15" i="26"/>
  <c r="E15" i="26"/>
  <c r="D15" i="26"/>
  <c r="G47" i="25"/>
  <c r="F47" i="25"/>
  <c r="E47" i="25"/>
  <c r="D47" i="25"/>
  <c r="G46" i="25"/>
  <c r="F46" i="25"/>
  <c r="E46" i="25"/>
  <c r="D46" i="25"/>
  <c r="G45" i="25"/>
  <c r="F45" i="25"/>
  <c r="E45" i="25"/>
  <c r="D45" i="25"/>
  <c r="G44" i="25"/>
  <c r="F44" i="25"/>
  <c r="E44" i="25"/>
  <c r="D44" i="25"/>
  <c r="E20" i="2"/>
  <c r="D20" i="2"/>
  <c r="C20" i="2"/>
  <c r="F20" i="2"/>
  <c r="C19" i="2"/>
  <c r="F16" i="26"/>
  <c r="E16" i="26"/>
  <c r="D16" i="26"/>
  <c r="G51" i="25"/>
  <c r="F51" i="25"/>
  <c r="E51" i="25"/>
  <c r="D51" i="25"/>
  <c r="G50" i="25"/>
  <c r="F50" i="25"/>
  <c r="E50" i="25"/>
  <c r="D50" i="25"/>
  <c r="G49" i="25"/>
  <c r="F49" i="25"/>
  <c r="E49" i="25"/>
  <c r="D49" i="25"/>
  <c r="G48" i="25"/>
  <c r="F48" i="25"/>
  <c r="E48" i="25"/>
  <c r="D48" i="25"/>
  <c r="F17" i="26"/>
  <c r="E17" i="26"/>
  <c r="D17" i="26"/>
  <c r="G55" i="25"/>
  <c r="F55" i="25"/>
  <c r="E55" i="25"/>
  <c r="D55" i="25"/>
  <c r="G54" i="25"/>
  <c r="F54" i="25"/>
  <c r="E54" i="25"/>
  <c r="D54" i="25"/>
  <c r="G53" i="25"/>
  <c r="F53" i="25"/>
  <c r="E53" i="25"/>
  <c r="D53" i="25"/>
  <c r="G52" i="25"/>
  <c r="F52" i="25"/>
  <c r="E52" i="25"/>
  <c r="D52" i="25"/>
  <c r="C52" i="25"/>
  <c r="C17" i="26"/>
  <c r="A54" i="25"/>
  <c r="A53" i="25"/>
  <c r="A55" i="25"/>
  <c r="C55" i="25"/>
  <c r="C54" i="25"/>
  <c r="C53" i="25"/>
  <c r="D39" i="25"/>
  <c r="E39" i="25"/>
  <c r="F39" i="25"/>
  <c r="D40" i="25"/>
  <c r="E40" i="25"/>
  <c r="F40" i="25"/>
  <c r="D41" i="25"/>
  <c r="E41" i="25"/>
  <c r="F41" i="25"/>
  <c r="D42" i="25"/>
  <c r="E42" i="25"/>
  <c r="F42" i="25"/>
  <c r="D13" i="26"/>
  <c r="E13" i="26"/>
  <c r="F13" i="26"/>
  <c r="E16" i="2"/>
  <c r="D16" i="2"/>
  <c r="C16" i="2"/>
  <c r="E15" i="2"/>
  <c r="D15" i="2"/>
  <c r="E14" i="2"/>
  <c r="D14" i="2"/>
  <c r="C15" i="2"/>
  <c r="C14" i="2"/>
  <c r="C13" i="2"/>
  <c r="F12" i="26"/>
  <c r="F11" i="26" s="1"/>
  <c r="D12" i="26"/>
  <c r="D11" i="26" s="1"/>
  <c r="F38" i="25"/>
  <c r="E38" i="25"/>
  <c r="D38" i="25"/>
  <c r="F37" i="25"/>
  <c r="E37" i="25"/>
  <c r="D37" i="25"/>
  <c r="F36" i="25"/>
  <c r="E36" i="25"/>
  <c r="D36" i="25"/>
  <c r="F35" i="25"/>
  <c r="F34" i="25" s="1"/>
  <c r="E35" i="25"/>
  <c r="E34" i="25" s="1"/>
  <c r="D35" i="25"/>
  <c r="D34" i="25" s="1"/>
  <c r="C31" i="25"/>
  <c r="G10" i="26"/>
  <c r="F10" i="26"/>
  <c r="E10" i="26"/>
  <c r="D10" i="26"/>
  <c r="F33" i="25"/>
  <c r="E33" i="25"/>
  <c r="D33" i="25"/>
  <c r="F32" i="25"/>
  <c r="E32" i="25"/>
  <c r="D32" i="25"/>
  <c r="F31" i="25"/>
  <c r="E31" i="25"/>
  <c r="D31" i="25"/>
  <c r="F30" i="25"/>
  <c r="C32" i="25"/>
  <c r="C33" i="25"/>
  <c r="G8" i="26"/>
  <c r="F8" i="26"/>
  <c r="E8" i="26"/>
  <c r="D8" i="26"/>
  <c r="F25" i="25"/>
  <c r="E25" i="25"/>
  <c r="D25" i="25"/>
  <c r="F24" i="25"/>
  <c r="E24" i="25"/>
  <c r="D24" i="25"/>
  <c r="F23" i="25"/>
  <c r="E23" i="25"/>
  <c r="D23" i="25"/>
  <c r="F22" i="25"/>
  <c r="F20" i="25"/>
  <c r="E20" i="25"/>
  <c r="D20" i="25"/>
  <c r="F19" i="25"/>
  <c r="E19" i="25"/>
  <c r="D19" i="25"/>
  <c r="F18" i="25"/>
  <c r="E18" i="25"/>
  <c r="D18" i="25"/>
  <c r="G7" i="26"/>
  <c r="F7" i="26"/>
  <c r="E7" i="26"/>
  <c r="D7" i="26"/>
  <c r="G6" i="26"/>
  <c r="F6" i="26"/>
  <c r="E6" i="26"/>
  <c r="D6" i="26"/>
  <c r="F17" i="25"/>
  <c r="E17" i="25"/>
  <c r="D17" i="25"/>
  <c r="F16" i="25"/>
  <c r="E16" i="25"/>
  <c r="D16" i="25"/>
  <c r="F15" i="25"/>
  <c r="E15" i="25"/>
  <c r="D15" i="25"/>
  <c r="F14" i="25"/>
  <c r="E14" i="25"/>
  <c r="D14" i="25"/>
  <c r="G1" i="23"/>
  <c r="G60" i="23" s="1"/>
  <c r="F1" i="23"/>
  <c r="E1" i="23"/>
  <c r="D1" i="23"/>
  <c r="C1" i="23"/>
  <c r="H2" i="22"/>
  <c r="G2" i="22"/>
  <c r="F2" i="22"/>
  <c r="E2" i="22"/>
  <c r="D2" i="22"/>
  <c r="H2" i="21"/>
  <c r="G2" i="21"/>
  <c r="F2" i="21"/>
  <c r="E2" i="21"/>
  <c r="D2" i="21"/>
  <c r="H2" i="20"/>
  <c r="G2" i="20"/>
  <c r="F2" i="20"/>
  <c r="E2" i="20"/>
  <c r="D2" i="20"/>
  <c r="H2" i="19"/>
  <c r="G2" i="19"/>
  <c r="F2" i="19"/>
  <c r="E2" i="19"/>
  <c r="D2" i="19"/>
  <c r="H2" i="18"/>
  <c r="G2" i="18"/>
  <c r="F2" i="18"/>
  <c r="E2" i="18"/>
  <c r="D2" i="18"/>
  <c r="H2" i="17"/>
  <c r="G2" i="17"/>
  <c r="F2" i="17"/>
  <c r="E2" i="17"/>
  <c r="D2" i="17"/>
  <c r="H2" i="16"/>
  <c r="G2" i="16"/>
  <c r="F2" i="16"/>
  <c r="E2" i="16"/>
  <c r="D2" i="16"/>
  <c r="H2" i="15"/>
  <c r="G2" i="15"/>
  <c r="F2" i="15"/>
  <c r="E2" i="15"/>
  <c r="D2" i="15"/>
  <c r="H2" i="14"/>
  <c r="G2" i="14"/>
  <c r="F2" i="14"/>
  <c r="E2" i="14"/>
  <c r="D2" i="14"/>
  <c r="H2" i="12"/>
  <c r="G2" i="12"/>
  <c r="F2" i="12"/>
  <c r="E2" i="12"/>
  <c r="D2" i="12"/>
  <c r="H2" i="11"/>
  <c r="G2" i="11"/>
  <c r="F2" i="11"/>
  <c r="E2" i="11"/>
  <c r="D2" i="11"/>
  <c r="F3" i="26"/>
  <c r="E3" i="26"/>
  <c r="D3" i="26"/>
  <c r="D6" i="25"/>
  <c r="D5" i="25"/>
  <c r="D4" i="25"/>
  <c r="D3" i="25"/>
  <c r="E6" i="25"/>
  <c r="E5" i="25"/>
  <c r="E4" i="25"/>
  <c r="E3" i="25"/>
  <c r="F6" i="25"/>
  <c r="F5" i="25"/>
  <c r="F4" i="25"/>
  <c r="F3" i="25"/>
  <c r="G6" i="25"/>
  <c r="G5" i="25"/>
  <c r="G4" i="25"/>
  <c r="G3" i="25"/>
  <c r="H18" i="5" l="1"/>
  <c r="E19" i="9"/>
  <c r="D42" i="26" s="1"/>
  <c r="D19" i="9"/>
  <c r="E13" i="7"/>
  <c r="D40" i="26" s="1"/>
  <c r="D13" i="3"/>
  <c r="D12" i="17"/>
  <c r="K13" i="11"/>
  <c r="J13" i="11"/>
  <c r="G13" i="24"/>
  <c r="C16" i="23"/>
  <c r="K11" i="11"/>
  <c r="J16" i="23" s="1"/>
  <c r="J11" i="11"/>
  <c r="I16" i="23" s="1"/>
  <c r="C12" i="23"/>
  <c r="J7" i="11"/>
  <c r="I12" i="23" s="1"/>
  <c r="K7" i="11"/>
  <c r="J12" i="23" s="1"/>
  <c r="D19" i="13"/>
  <c r="I8" i="19"/>
  <c r="K8" i="19"/>
  <c r="J8" i="19"/>
  <c r="C13" i="23"/>
  <c r="J8" i="11"/>
  <c r="I13" i="23" s="1"/>
  <c r="K8" i="11"/>
  <c r="J13" i="23" s="1"/>
  <c r="K9" i="22"/>
  <c r="J9" i="22"/>
  <c r="I25" i="24" s="1"/>
  <c r="I9" i="22"/>
  <c r="H25" i="24" s="1"/>
  <c r="G30" i="24"/>
  <c r="G25" i="24"/>
  <c r="G14" i="8"/>
  <c r="F41" i="26" s="1"/>
  <c r="F30" i="24"/>
  <c r="F25" i="24"/>
  <c r="C14" i="23"/>
  <c r="J9" i="11"/>
  <c r="I14" i="23" s="1"/>
  <c r="K9" i="11"/>
  <c r="J14" i="23" s="1"/>
  <c r="D17" i="21"/>
  <c r="E25" i="24"/>
  <c r="E30" i="24"/>
  <c r="J12" i="11"/>
  <c r="K12" i="11"/>
  <c r="I12" i="11"/>
  <c r="G12" i="24"/>
  <c r="D25" i="24"/>
  <c r="D30" i="24"/>
  <c r="E76" i="25"/>
  <c r="C15" i="23"/>
  <c r="K10" i="11"/>
  <c r="J15" i="23" s="1"/>
  <c r="J10" i="11"/>
  <c r="I15" i="23" s="1"/>
  <c r="K5" i="12"/>
  <c r="J5" i="12"/>
  <c r="H6" i="25"/>
  <c r="G14" i="19"/>
  <c r="F54" i="26" s="1"/>
  <c r="F68" i="25"/>
  <c r="H68" i="25" s="1"/>
  <c r="D22" i="2"/>
  <c r="H71" i="25"/>
  <c r="E17" i="21"/>
  <c r="D57" i="26" s="1"/>
  <c r="D77" i="25"/>
  <c r="D76" i="25" s="1"/>
  <c r="H73" i="25"/>
  <c r="H84" i="25"/>
  <c r="E22" i="2"/>
  <c r="H79" i="25"/>
  <c r="F22" i="2"/>
  <c r="H13" i="3"/>
  <c r="G36" i="26" s="1"/>
  <c r="G3" i="26"/>
  <c r="H58" i="25"/>
  <c r="H17" i="21"/>
  <c r="G77" i="25"/>
  <c r="H75" i="25"/>
  <c r="H69" i="25"/>
  <c r="D15" i="20"/>
  <c r="D21" i="2"/>
  <c r="H64" i="25"/>
  <c r="H13" i="7"/>
  <c r="G40" i="26" s="1"/>
  <c r="D11" i="15"/>
  <c r="C50" i="26" s="1"/>
  <c r="D16" i="14"/>
  <c r="H56" i="25"/>
  <c r="H62" i="25"/>
  <c r="H65" i="25"/>
  <c r="E21" i="2"/>
  <c r="H80" i="25"/>
  <c r="F21" i="2"/>
  <c r="H67" i="25"/>
  <c r="D13" i="12"/>
  <c r="D19" i="2"/>
  <c r="H59" i="25"/>
  <c r="H83" i="25"/>
  <c r="H61" i="25"/>
  <c r="G17" i="21"/>
  <c r="F57" i="26" s="1"/>
  <c r="F77" i="25"/>
  <c r="F76" i="25" s="1"/>
  <c r="H82" i="25"/>
  <c r="D14" i="10"/>
  <c r="C43" i="26" s="1"/>
  <c r="E19" i="2"/>
  <c r="D12" i="16"/>
  <c r="H70" i="25"/>
  <c r="H78" i="25"/>
  <c r="H72" i="25"/>
  <c r="D25" i="2"/>
  <c r="F19" i="2"/>
  <c r="H57" i="25"/>
  <c r="H60" i="25"/>
  <c r="H63" i="25"/>
  <c r="H66" i="25"/>
  <c r="E25" i="2"/>
  <c r="D24" i="2"/>
  <c r="F14" i="19"/>
  <c r="E54" i="26" s="1"/>
  <c r="E68" i="25"/>
  <c r="E43" i="25" s="1"/>
  <c r="H74" i="25"/>
  <c r="H81" i="25"/>
  <c r="F25" i="2"/>
  <c r="D14" i="8"/>
  <c r="C41" i="26" s="1"/>
  <c r="G13" i="12"/>
  <c r="F46" i="26" s="1"/>
  <c r="G14" i="6"/>
  <c r="F39" i="26" s="1"/>
  <c r="D13" i="7"/>
  <c r="C40" i="26" s="1"/>
  <c r="D15" i="18"/>
  <c r="H19" i="13"/>
  <c r="G48" i="26" s="1"/>
  <c r="D14" i="19"/>
  <c r="E15" i="20"/>
  <c r="D55" i="26" s="1"/>
  <c r="F19" i="13"/>
  <c r="E48" i="26" s="1"/>
  <c r="F15" i="20"/>
  <c r="E55" i="26" s="1"/>
  <c r="D19" i="11"/>
  <c r="G15" i="20"/>
  <c r="F55" i="26" s="1"/>
  <c r="D15" i="22"/>
  <c r="F15" i="22"/>
  <c r="E58" i="26" s="1"/>
  <c r="F13" i="7"/>
  <c r="E40" i="26" s="1"/>
  <c r="G13" i="7"/>
  <c r="F40" i="26" s="1"/>
  <c r="E13" i="12"/>
  <c r="D46" i="26" s="1"/>
  <c r="H14" i="19"/>
  <c r="G54" i="26" s="1"/>
  <c r="D23" i="26"/>
  <c r="D18" i="5"/>
  <c r="G18" i="2"/>
  <c r="K3" i="13"/>
  <c r="J3" i="13"/>
  <c r="I3" i="13"/>
  <c r="G16" i="2"/>
  <c r="G19" i="2"/>
  <c r="J3" i="14"/>
  <c r="I63" i="23" s="1"/>
  <c r="K3" i="14"/>
  <c r="J63" i="23" s="1"/>
  <c r="I3" i="14"/>
  <c r="H63" i="23" s="1"/>
  <c r="D3" i="22"/>
  <c r="C12" i="2"/>
  <c r="G25" i="2"/>
  <c r="I3" i="20"/>
  <c r="H69" i="23" s="1"/>
  <c r="J3" i="20"/>
  <c r="I69" i="23" s="1"/>
  <c r="K3" i="20"/>
  <c r="J69" i="23" s="1"/>
  <c r="I13" i="6"/>
  <c r="H6" i="26" s="1"/>
  <c r="K13" i="6"/>
  <c r="J6" i="26" s="1"/>
  <c r="J13" i="6"/>
  <c r="I6" i="26" s="1"/>
  <c r="K9" i="15"/>
  <c r="J9" i="15"/>
  <c r="I9" i="15"/>
  <c r="G32" i="25"/>
  <c r="K11" i="10"/>
  <c r="J11" i="10"/>
  <c r="I11" i="10"/>
  <c r="K15" i="9"/>
  <c r="I15" i="9"/>
  <c r="H27" i="25"/>
  <c r="J15" i="9"/>
  <c r="K12" i="12"/>
  <c r="J13" i="26" s="1"/>
  <c r="I12" i="12"/>
  <c r="H13" i="26" s="1"/>
  <c r="G13" i="26"/>
  <c r="J12" i="12"/>
  <c r="I13" i="26" s="1"/>
  <c r="K15" i="13"/>
  <c r="I15" i="13"/>
  <c r="J15" i="13"/>
  <c r="D21" i="25"/>
  <c r="E14" i="8"/>
  <c r="D41" i="26" s="1"/>
  <c r="D22" i="25"/>
  <c r="K18" i="9"/>
  <c r="I18" i="9"/>
  <c r="J18" i="9"/>
  <c r="F14" i="10"/>
  <c r="E43" i="26" s="1"/>
  <c r="E30" i="25"/>
  <c r="H50" i="25"/>
  <c r="K13" i="14"/>
  <c r="I13" i="14"/>
  <c r="J13" i="14"/>
  <c r="K10" i="16"/>
  <c r="J10" i="16"/>
  <c r="I10" i="16"/>
  <c r="I9" i="17"/>
  <c r="K9" i="17"/>
  <c r="J9" i="17"/>
  <c r="K11" i="18"/>
  <c r="J11" i="18"/>
  <c r="I11" i="18"/>
  <c r="G20" i="26"/>
  <c r="K14" i="18"/>
  <c r="J20" i="26" s="1"/>
  <c r="J14" i="18"/>
  <c r="I20" i="26" s="1"/>
  <c r="I14" i="18"/>
  <c r="H20" i="26" s="1"/>
  <c r="K10" i="19"/>
  <c r="J10" i="19"/>
  <c r="I10" i="19"/>
  <c r="K11" i="22"/>
  <c r="J11" i="22"/>
  <c r="I11" i="22"/>
  <c r="I11" i="6"/>
  <c r="G16" i="25"/>
  <c r="H16" i="25" s="1"/>
  <c r="J11" i="6"/>
  <c r="K11" i="6"/>
  <c r="E21" i="25"/>
  <c r="F14" i="8"/>
  <c r="E41" i="26" s="1"/>
  <c r="E22" i="25"/>
  <c r="F15" i="18"/>
  <c r="E53" i="26" s="1"/>
  <c r="K13" i="19"/>
  <c r="J21" i="26" s="1"/>
  <c r="J13" i="19"/>
  <c r="I21" i="26" s="1"/>
  <c r="I13" i="19"/>
  <c r="H21" i="26" s="1"/>
  <c r="G21" i="26"/>
  <c r="K10" i="20"/>
  <c r="J10" i="20"/>
  <c r="I10" i="20"/>
  <c r="K7" i="16"/>
  <c r="J7" i="16"/>
  <c r="I7" i="16"/>
  <c r="H13" i="12"/>
  <c r="F21" i="25"/>
  <c r="I9" i="7"/>
  <c r="K9" i="7"/>
  <c r="G18" i="25"/>
  <c r="H18" i="25" s="1"/>
  <c r="J9" i="7"/>
  <c r="K9" i="10"/>
  <c r="I9" i="10"/>
  <c r="G30" i="25"/>
  <c r="H30" i="25" s="1"/>
  <c r="J9" i="10"/>
  <c r="K12" i="10"/>
  <c r="J12" i="10"/>
  <c r="I12" i="10"/>
  <c r="G33" i="25"/>
  <c r="H33" i="25" s="1"/>
  <c r="K16" i="11"/>
  <c r="I16" i="11"/>
  <c r="G37" i="25"/>
  <c r="H37" i="25" s="1"/>
  <c r="J16" i="11"/>
  <c r="F19" i="11"/>
  <c r="E45" i="26" s="1"/>
  <c r="E44" i="26" s="1"/>
  <c r="E12" i="26"/>
  <c r="E11" i="26" s="1"/>
  <c r="K7" i="15"/>
  <c r="I7" i="15"/>
  <c r="I53" i="25"/>
  <c r="J7" i="15"/>
  <c r="K10" i="15"/>
  <c r="J17" i="26" s="1"/>
  <c r="J10" i="15"/>
  <c r="I17" i="26" s="1"/>
  <c r="I10" i="15"/>
  <c r="H17" i="26" s="1"/>
  <c r="G17" i="26"/>
  <c r="K8" i="16"/>
  <c r="J8" i="16"/>
  <c r="I8" i="16"/>
  <c r="I14" i="21"/>
  <c r="K14" i="21"/>
  <c r="J14" i="21"/>
  <c r="H14" i="6"/>
  <c r="K11" i="8"/>
  <c r="J11" i="8"/>
  <c r="I11" i="8"/>
  <c r="G24" i="25"/>
  <c r="H24" i="25" s="1"/>
  <c r="H14" i="8"/>
  <c r="K9" i="8"/>
  <c r="I9" i="8"/>
  <c r="G22" i="25"/>
  <c r="H22" i="25" s="1"/>
  <c r="J9" i="8"/>
  <c r="H28" i="25"/>
  <c r="I16" i="9"/>
  <c r="K16" i="9"/>
  <c r="J16" i="9"/>
  <c r="F19" i="9"/>
  <c r="E42" i="26" s="1"/>
  <c r="G42" i="25"/>
  <c r="H42" i="25" s="1"/>
  <c r="K11" i="12"/>
  <c r="I11" i="12"/>
  <c r="J11" i="12"/>
  <c r="K8" i="12"/>
  <c r="I8" i="12"/>
  <c r="G39" i="25"/>
  <c r="H39" i="25" s="1"/>
  <c r="J8" i="12"/>
  <c r="F11" i="15"/>
  <c r="E50" i="26" s="1"/>
  <c r="K16" i="13"/>
  <c r="J16" i="13"/>
  <c r="I16" i="13"/>
  <c r="E12" i="16"/>
  <c r="D51" i="26" s="1"/>
  <c r="D18" i="26"/>
  <c r="D14" i="26" s="1"/>
  <c r="E14" i="19"/>
  <c r="D54" i="26" s="1"/>
  <c r="F17" i="21"/>
  <c r="E57" i="26" s="1"/>
  <c r="E24" i="26"/>
  <c r="E23" i="26" s="1"/>
  <c r="K12" i="20"/>
  <c r="J12" i="20"/>
  <c r="I12" i="20"/>
  <c r="H15" i="20"/>
  <c r="K14" i="22"/>
  <c r="J25" i="26" s="1"/>
  <c r="J14" i="22"/>
  <c r="I25" i="26" s="1"/>
  <c r="I14" i="22"/>
  <c r="H25" i="26" s="1"/>
  <c r="G25" i="26"/>
  <c r="K14" i="20"/>
  <c r="J22" i="26" s="1"/>
  <c r="J14" i="20"/>
  <c r="I22" i="26" s="1"/>
  <c r="I14" i="20"/>
  <c r="H22" i="26" s="1"/>
  <c r="G22" i="26"/>
  <c r="K15" i="4"/>
  <c r="I15" i="4"/>
  <c r="J15" i="4"/>
  <c r="H8" i="25"/>
  <c r="K12" i="7"/>
  <c r="J7" i="26" s="1"/>
  <c r="I12" i="7"/>
  <c r="H7" i="26" s="1"/>
  <c r="G21" i="25"/>
  <c r="J12" i="7"/>
  <c r="I7" i="26" s="1"/>
  <c r="I12" i="8"/>
  <c r="G25" i="25"/>
  <c r="H25" i="25" s="1"/>
  <c r="K12" i="8"/>
  <c r="J12" i="8"/>
  <c r="K13" i="5"/>
  <c r="J13" i="5"/>
  <c r="I13" i="5"/>
  <c r="H11" i="25"/>
  <c r="G19" i="9"/>
  <c r="F42" i="26" s="1"/>
  <c r="H19" i="11"/>
  <c r="G12" i="26"/>
  <c r="G11" i="26" s="1"/>
  <c r="I18" i="11"/>
  <c r="H12" i="26" s="1"/>
  <c r="K18" i="11"/>
  <c r="J12" i="26" s="1"/>
  <c r="J18" i="11"/>
  <c r="I12" i="26" s="1"/>
  <c r="G11" i="15"/>
  <c r="F50" i="26" s="1"/>
  <c r="K11" i="14"/>
  <c r="J11" i="14"/>
  <c r="I11" i="14"/>
  <c r="I14" i="14"/>
  <c r="K14" i="14"/>
  <c r="J14" i="14"/>
  <c r="E19" i="13"/>
  <c r="D48" i="26" s="1"/>
  <c r="F12" i="16"/>
  <c r="E51" i="26" s="1"/>
  <c r="E18" i="26"/>
  <c r="E14" i="26" s="1"/>
  <c r="K7" i="17"/>
  <c r="J7" i="17"/>
  <c r="I7" i="17"/>
  <c r="K10" i="17"/>
  <c r="J10" i="17"/>
  <c r="I10" i="17"/>
  <c r="K12" i="18"/>
  <c r="I12" i="18"/>
  <c r="J12" i="18"/>
  <c r="K11" i="19"/>
  <c r="J11" i="19"/>
  <c r="I11" i="19"/>
  <c r="K12" i="21"/>
  <c r="J12" i="21"/>
  <c r="I12" i="21"/>
  <c r="G15" i="22"/>
  <c r="F58" i="26" s="1"/>
  <c r="F25" i="26"/>
  <c r="F23" i="26" s="1"/>
  <c r="K8" i="7"/>
  <c r="I8" i="7"/>
  <c r="J8" i="7"/>
  <c r="E14" i="10"/>
  <c r="D43" i="26" s="1"/>
  <c r="D30" i="25"/>
  <c r="H12" i="25"/>
  <c r="I14" i="5"/>
  <c r="K14" i="5"/>
  <c r="J14" i="5"/>
  <c r="H9" i="25"/>
  <c r="K16" i="4"/>
  <c r="J16" i="4"/>
  <c r="I16" i="4"/>
  <c r="K17" i="5"/>
  <c r="J17" i="5"/>
  <c r="I17" i="5"/>
  <c r="H3" i="25"/>
  <c r="E13" i="3"/>
  <c r="D36" i="26" s="1"/>
  <c r="E18" i="5"/>
  <c r="D38" i="26" s="1"/>
  <c r="I9" i="6"/>
  <c r="K9" i="6"/>
  <c r="J9" i="6"/>
  <c r="G14" i="25"/>
  <c r="H14" i="25" s="1"/>
  <c r="K12" i="6"/>
  <c r="I12" i="6"/>
  <c r="G17" i="25"/>
  <c r="H17" i="25" s="1"/>
  <c r="J12" i="6"/>
  <c r="H19" i="9"/>
  <c r="G14" i="10"/>
  <c r="F43" i="26" s="1"/>
  <c r="E19" i="11"/>
  <c r="D45" i="26" s="1"/>
  <c r="D44" i="26" s="1"/>
  <c r="D19" i="4"/>
  <c r="G12" i="16"/>
  <c r="F51" i="26" s="1"/>
  <c r="F18" i="26"/>
  <c r="F14" i="26" s="1"/>
  <c r="E15" i="18"/>
  <c r="D53" i="26" s="1"/>
  <c r="K16" i="21"/>
  <c r="J24" i="26" s="1"/>
  <c r="J16" i="21"/>
  <c r="I24" i="26" s="1"/>
  <c r="I16" i="21"/>
  <c r="H24" i="26" s="1"/>
  <c r="G24" i="26"/>
  <c r="I11" i="20"/>
  <c r="K11" i="20"/>
  <c r="J11" i="20"/>
  <c r="K12" i="22"/>
  <c r="J12" i="22"/>
  <c r="I12" i="22"/>
  <c r="F13" i="3"/>
  <c r="E36" i="26" s="1"/>
  <c r="K15" i="5"/>
  <c r="I15" i="5"/>
  <c r="H13" i="25"/>
  <c r="J15" i="5"/>
  <c r="G19" i="25"/>
  <c r="H19" i="25" s="1"/>
  <c r="K10" i="7"/>
  <c r="J10" i="7"/>
  <c r="I10" i="7"/>
  <c r="K10" i="10"/>
  <c r="I10" i="10"/>
  <c r="G31" i="25"/>
  <c r="J10" i="10"/>
  <c r="K13" i="10"/>
  <c r="J10" i="26" s="1"/>
  <c r="I13" i="10"/>
  <c r="H10" i="26" s="1"/>
  <c r="J13" i="10"/>
  <c r="I10" i="26" s="1"/>
  <c r="G35" i="25"/>
  <c r="K14" i="11"/>
  <c r="I14" i="11"/>
  <c r="J14" i="11"/>
  <c r="K17" i="11"/>
  <c r="I17" i="11"/>
  <c r="G38" i="25"/>
  <c r="H38" i="25" s="1"/>
  <c r="J17" i="11"/>
  <c r="G19" i="11"/>
  <c r="F45" i="26" s="1"/>
  <c r="F44" i="26" s="1"/>
  <c r="E19" i="4"/>
  <c r="D37" i="26" s="1"/>
  <c r="I8" i="15"/>
  <c r="K8" i="15"/>
  <c r="J8" i="15"/>
  <c r="G19" i="13"/>
  <c r="F48" i="26" s="1"/>
  <c r="H12" i="16"/>
  <c r="K11" i="16"/>
  <c r="J18" i="26" s="1"/>
  <c r="I11" i="16"/>
  <c r="H18" i="26" s="1"/>
  <c r="J11" i="16"/>
  <c r="I18" i="26" s="1"/>
  <c r="G18" i="26"/>
  <c r="I11" i="7"/>
  <c r="K11" i="7"/>
  <c r="J11" i="7"/>
  <c r="G20" i="25"/>
  <c r="H20" i="25" s="1"/>
  <c r="K9" i="12"/>
  <c r="J9" i="12"/>
  <c r="G40" i="25"/>
  <c r="H40" i="25" s="1"/>
  <c r="I9" i="12"/>
  <c r="K18" i="13"/>
  <c r="J15" i="26" s="1"/>
  <c r="G15" i="26"/>
  <c r="I18" i="13"/>
  <c r="H15" i="26" s="1"/>
  <c r="J18" i="13"/>
  <c r="I15" i="26" s="1"/>
  <c r="H4" i="25"/>
  <c r="F18" i="5"/>
  <c r="E38" i="26" s="1"/>
  <c r="H5" i="25"/>
  <c r="G13" i="3"/>
  <c r="F36" i="26" s="1"/>
  <c r="I14" i="4"/>
  <c r="H7" i="25"/>
  <c r="K14" i="4"/>
  <c r="J14" i="4"/>
  <c r="K17" i="4"/>
  <c r="J17" i="4"/>
  <c r="I17" i="4"/>
  <c r="H10" i="25"/>
  <c r="G18" i="5"/>
  <c r="F38" i="26" s="1"/>
  <c r="E14" i="6"/>
  <c r="D39" i="26" s="1"/>
  <c r="K10" i="8"/>
  <c r="J10" i="8"/>
  <c r="I10" i="8"/>
  <c r="G23" i="25"/>
  <c r="H23" i="25" s="1"/>
  <c r="K13" i="8"/>
  <c r="J8" i="26" s="1"/>
  <c r="I13" i="8"/>
  <c r="H8" i="26" s="1"/>
  <c r="J13" i="8"/>
  <c r="I8" i="26" s="1"/>
  <c r="K14" i="9"/>
  <c r="I14" i="9"/>
  <c r="J14" i="9"/>
  <c r="H26" i="25"/>
  <c r="K17" i="9"/>
  <c r="J17" i="9"/>
  <c r="I17" i="9"/>
  <c r="H29" i="25"/>
  <c r="H14" i="10"/>
  <c r="K10" i="12"/>
  <c r="G41" i="25"/>
  <c r="H41" i="25" s="1"/>
  <c r="J10" i="12"/>
  <c r="I10" i="12"/>
  <c r="F19" i="4"/>
  <c r="E37" i="26" s="1"/>
  <c r="E11" i="15"/>
  <c r="D50" i="26" s="1"/>
  <c r="I55" i="25"/>
  <c r="K14" i="13"/>
  <c r="I14" i="13"/>
  <c r="J14" i="13"/>
  <c r="K17" i="13"/>
  <c r="I17" i="13"/>
  <c r="J17" i="13"/>
  <c r="K9" i="16"/>
  <c r="J9" i="16"/>
  <c r="I9" i="16"/>
  <c r="G15" i="18"/>
  <c r="F53" i="26" s="1"/>
  <c r="K15" i="21"/>
  <c r="J15" i="21"/>
  <c r="I15" i="21"/>
  <c r="I16" i="5"/>
  <c r="K16" i="5"/>
  <c r="J16" i="5"/>
  <c r="G36" i="25"/>
  <c r="H36" i="25" s="1"/>
  <c r="K15" i="11"/>
  <c r="J15" i="11"/>
  <c r="I15" i="11"/>
  <c r="K13" i="22"/>
  <c r="J13" i="22"/>
  <c r="I13" i="22"/>
  <c r="G19" i="4"/>
  <c r="F37" i="26" s="1"/>
  <c r="G16" i="26"/>
  <c r="K15" i="14"/>
  <c r="J16" i="26" s="1"/>
  <c r="J15" i="14"/>
  <c r="I16" i="26" s="1"/>
  <c r="I15" i="14"/>
  <c r="H16" i="26" s="1"/>
  <c r="K8" i="17"/>
  <c r="J8" i="17"/>
  <c r="I8" i="17"/>
  <c r="G19" i="26"/>
  <c r="K11" i="17"/>
  <c r="J19" i="26" s="1"/>
  <c r="J11" i="17"/>
  <c r="I19" i="26" s="1"/>
  <c r="I11" i="17"/>
  <c r="H19" i="26" s="1"/>
  <c r="H15" i="18"/>
  <c r="K10" i="18"/>
  <c r="J10" i="18"/>
  <c r="I10" i="18"/>
  <c r="K13" i="18"/>
  <c r="J13" i="18"/>
  <c r="I13" i="18"/>
  <c r="K9" i="19"/>
  <c r="J9" i="19"/>
  <c r="I9" i="19"/>
  <c r="K12" i="19"/>
  <c r="J12" i="19"/>
  <c r="I12" i="19"/>
  <c r="K13" i="20"/>
  <c r="J13" i="20"/>
  <c r="I13" i="20"/>
  <c r="K10" i="22"/>
  <c r="J10" i="22"/>
  <c r="I10" i="22"/>
  <c r="H11" i="15"/>
  <c r="K6" i="15"/>
  <c r="J6" i="15"/>
  <c r="I6" i="15"/>
  <c r="J52" i="25"/>
  <c r="G38" i="26"/>
  <c r="F14" i="6"/>
  <c r="E39" i="26" s="1"/>
  <c r="H49" i="25"/>
  <c r="K12" i="14"/>
  <c r="I12" i="14"/>
  <c r="J12" i="14"/>
  <c r="F2" i="25"/>
  <c r="D14" i="6"/>
  <c r="K10" i="6"/>
  <c r="J10" i="6"/>
  <c r="I10" i="6"/>
  <c r="G15" i="25"/>
  <c r="H15" i="25" s="1"/>
  <c r="F13" i="12"/>
  <c r="E46" i="26" s="1"/>
  <c r="H19" i="4"/>
  <c r="I18" i="4"/>
  <c r="K18" i="4"/>
  <c r="J18" i="4"/>
  <c r="K13" i="21"/>
  <c r="J13" i="21"/>
  <c r="I13" i="21"/>
  <c r="F16" i="14"/>
  <c r="E49" i="26" s="1"/>
  <c r="G16" i="14"/>
  <c r="F49" i="26" s="1"/>
  <c r="H16" i="14"/>
  <c r="H51" i="25"/>
  <c r="E16" i="14"/>
  <c r="D49" i="26" s="1"/>
  <c r="E3" i="21"/>
  <c r="D29" i="2"/>
  <c r="F3" i="21"/>
  <c r="E29" i="2"/>
  <c r="G3" i="21"/>
  <c r="F29" i="2"/>
  <c r="E3" i="11"/>
  <c r="D13" i="2"/>
  <c r="D12" i="2" s="1"/>
  <c r="D3" i="21"/>
  <c r="C28" i="2"/>
  <c r="C27" i="2" s="1"/>
  <c r="F3" i="11"/>
  <c r="E13" i="2"/>
  <c r="E12" i="2" s="1"/>
  <c r="F3" i="22"/>
  <c r="E31" i="2"/>
  <c r="G3" i="22"/>
  <c r="F30" i="2"/>
  <c r="H15" i="22"/>
  <c r="E15" i="22"/>
  <c r="D58" i="26" s="1"/>
  <c r="E3" i="22"/>
  <c r="D30" i="2"/>
  <c r="E12" i="17"/>
  <c r="D52" i="26" s="1"/>
  <c r="F12" i="17"/>
  <c r="E52" i="26" s="1"/>
  <c r="G12" i="17"/>
  <c r="F52" i="26" s="1"/>
  <c r="H12" i="17"/>
  <c r="D3" i="11"/>
  <c r="E56" i="26" l="1"/>
  <c r="D56" i="26"/>
  <c r="H21" i="25"/>
  <c r="I13" i="7"/>
  <c r="H40" i="26" s="1"/>
  <c r="D2" i="25"/>
  <c r="H11" i="26"/>
  <c r="J13" i="7"/>
  <c r="I40" i="26" s="1"/>
  <c r="K13" i="7"/>
  <c r="J40" i="26" s="1"/>
  <c r="F56" i="26"/>
  <c r="I17" i="21"/>
  <c r="H57" i="26" s="1"/>
  <c r="I14" i="19"/>
  <c r="H54" i="26" s="1"/>
  <c r="G57" i="26"/>
  <c r="D27" i="2"/>
  <c r="E2" i="25"/>
  <c r="E85" i="25" s="1"/>
  <c r="G76" i="25"/>
  <c r="H76" i="25" s="1"/>
  <c r="H77" i="25"/>
  <c r="F43" i="25"/>
  <c r="F85" i="25" s="1"/>
  <c r="I18" i="5"/>
  <c r="H38" i="26" s="1"/>
  <c r="I19" i="13"/>
  <c r="H48" i="26" s="1"/>
  <c r="G23" i="26"/>
  <c r="J17" i="21"/>
  <c r="I57" i="26" s="1"/>
  <c r="K17" i="21"/>
  <c r="J57" i="26" s="1"/>
  <c r="G14" i="26"/>
  <c r="F35" i="26"/>
  <c r="J18" i="5"/>
  <c r="I38" i="26" s="1"/>
  <c r="K18" i="5"/>
  <c r="J38" i="26" s="1"/>
  <c r="E27" i="2"/>
  <c r="H19" i="2"/>
  <c r="J19" i="2"/>
  <c r="I19" i="2"/>
  <c r="J25" i="2"/>
  <c r="I25" i="2"/>
  <c r="H25" i="2"/>
  <c r="J18" i="2"/>
  <c r="I18" i="2"/>
  <c r="H18" i="2"/>
  <c r="K14" i="8"/>
  <c r="J41" i="26" s="1"/>
  <c r="I14" i="8"/>
  <c r="H41" i="26" s="1"/>
  <c r="J14" i="8"/>
  <c r="I41" i="26" s="1"/>
  <c r="G41" i="26"/>
  <c r="K11" i="15"/>
  <c r="J50" i="26" s="1"/>
  <c r="G50" i="26"/>
  <c r="J11" i="15"/>
  <c r="I50" i="26" s="1"/>
  <c r="I11" i="15"/>
  <c r="H50" i="26" s="1"/>
  <c r="J19" i="13"/>
  <c r="I48" i="26" s="1"/>
  <c r="G49" i="26"/>
  <c r="K16" i="14"/>
  <c r="J49" i="26" s="1"/>
  <c r="J16" i="14"/>
  <c r="I49" i="26" s="1"/>
  <c r="I16" i="14"/>
  <c r="H49" i="26" s="1"/>
  <c r="G53" i="26"/>
  <c r="K15" i="18"/>
  <c r="J53" i="26" s="1"/>
  <c r="J15" i="18"/>
  <c r="I53" i="26" s="1"/>
  <c r="I15" i="18"/>
  <c r="H53" i="26" s="1"/>
  <c r="H45" i="25"/>
  <c r="H32" i="25"/>
  <c r="J32" i="25"/>
  <c r="I32" i="25"/>
  <c r="K19" i="13"/>
  <c r="J48" i="26" s="1"/>
  <c r="G46" i="26"/>
  <c r="I13" i="12"/>
  <c r="H46" i="26" s="1"/>
  <c r="K13" i="12"/>
  <c r="J46" i="26" s="1"/>
  <c r="J13" i="12"/>
  <c r="I46" i="26" s="1"/>
  <c r="H55" i="25"/>
  <c r="J55" i="25"/>
  <c r="H44" i="25"/>
  <c r="H54" i="25"/>
  <c r="J54" i="25"/>
  <c r="I54" i="25"/>
  <c r="G55" i="26"/>
  <c r="K15" i="20"/>
  <c r="J55" i="26" s="1"/>
  <c r="J15" i="20"/>
  <c r="I55" i="26" s="1"/>
  <c r="I15" i="20"/>
  <c r="H55" i="26" s="1"/>
  <c r="K14" i="6"/>
  <c r="J39" i="26" s="1"/>
  <c r="J14" i="6"/>
  <c r="I39" i="26" s="1"/>
  <c r="I14" i="6"/>
  <c r="H39" i="26" s="1"/>
  <c r="G39" i="26"/>
  <c r="J53" i="25"/>
  <c r="H53" i="25"/>
  <c r="J14" i="19"/>
  <c r="I54" i="26" s="1"/>
  <c r="K14" i="19"/>
  <c r="J54" i="26" s="1"/>
  <c r="K14" i="10"/>
  <c r="J43" i="26" s="1"/>
  <c r="I14" i="10"/>
  <c r="H43" i="26" s="1"/>
  <c r="G43" i="26"/>
  <c r="J14" i="10"/>
  <c r="I43" i="26" s="1"/>
  <c r="G45" i="26"/>
  <c r="G44" i="26" s="1"/>
  <c r="K19" i="11"/>
  <c r="J45" i="26" s="1"/>
  <c r="J19" i="11"/>
  <c r="I45" i="26" s="1"/>
  <c r="I19" i="11"/>
  <c r="H45" i="26" s="1"/>
  <c r="I33" i="25"/>
  <c r="J33" i="25"/>
  <c r="F47" i="26"/>
  <c r="E47" i="26"/>
  <c r="G58" i="26"/>
  <c r="K15" i="22"/>
  <c r="J58" i="26" s="1"/>
  <c r="J15" i="22"/>
  <c r="I58" i="26" s="1"/>
  <c r="I15" i="22"/>
  <c r="H58" i="26" s="1"/>
  <c r="G34" i="25"/>
  <c r="H34" i="25" s="1"/>
  <c r="H35" i="25"/>
  <c r="D43" i="25"/>
  <c r="E35" i="26"/>
  <c r="K12" i="16"/>
  <c r="J51" i="26" s="1"/>
  <c r="J12" i="16"/>
  <c r="I51" i="26" s="1"/>
  <c r="I12" i="16"/>
  <c r="H51" i="26" s="1"/>
  <c r="G51" i="26"/>
  <c r="H31" i="25"/>
  <c r="J31" i="25"/>
  <c r="I31" i="25"/>
  <c r="K19" i="4"/>
  <c r="J37" i="26" s="1"/>
  <c r="I19" i="4"/>
  <c r="H37" i="26" s="1"/>
  <c r="G37" i="26"/>
  <c r="J19" i="4"/>
  <c r="I37" i="26" s="1"/>
  <c r="H46" i="25"/>
  <c r="K12" i="17"/>
  <c r="J52" i="26" s="1"/>
  <c r="J12" i="17"/>
  <c r="I52" i="26" s="1"/>
  <c r="I12" i="17"/>
  <c r="H52" i="26" s="1"/>
  <c r="G52" i="26"/>
  <c r="I52" i="25"/>
  <c r="H52" i="25"/>
  <c r="D47" i="26"/>
  <c r="H47" i="25"/>
  <c r="K19" i="9"/>
  <c r="J42" i="26" s="1"/>
  <c r="I19" i="9"/>
  <c r="H42" i="26" s="1"/>
  <c r="G42" i="26"/>
  <c r="J19" i="9"/>
  <c r="I42" i="26" s="1"/>
  <c r="G2" i="25"/>
  <c r="D35" i="26"/>
  <c r="H48" i="25"/>
  <c r="G43" i="25"/>
  <c r="F27" i="2"/>
  <c r="C30" i="25"/>
  <c r="C58" i="26"/>
  <c r="C57" i="26"/>
  <c r="C55" i="26"/>
  <c r="C54" i="26"/>
  <c r="C53" i="26"/>
  <c r="C52" i="26"/>
  <c r="C51" i="26"/>
  <c r="C49" i="26"/>
  <c r="C48" i="26"/>
  <c r="C46" i="26"/>
  <c r="C45" i="26"/>
  <c r="C19" i="26"/>
  <c r="C84" i="25"/>
  <c r="C83" i="25"/>
  <c r="C82" i="25"/>
  <c r="C81" i="25"/>
  <c r="C80" i="25"/>
  <c r="C79" i="25"/>
  <c r="C78" i="25"/>
  <c r="C77" i="25"/>
  <c r="J77" i="25" s="1"/>
  <c r="C75" i="25"/>
  <c r="C74" i="25"/>
  <c r="C73" i="25"/>
  <c r="C72" i="25"/>
  <c r="C71" i="25"/>
  <c r="C70" i="25"/>
  <c r="C69" i="25"/>
  <c r="C68" i="25"/>
  <c r="C67" i="25"/>
  <c r="C66" i="25"/>
  <c r="C65" i="25"/>
  <c r="C64" i="25"/>
  <c r="C63" i="25"/>
  <c r="C62" i="25"/>
  <c r="C61" i="25"/>
  <c r="C60" i="25"/>
  <c r="C59" i="25"/>
  <c r="C58" i="25"/>
  <c r="C57" i="25"/>
  <c r="C56" i="25"/>
  <c r="C51" i="25"/>
  <c r="C50" i="25"/>
  <c r="C49" i="25"/>
  <c r="C48" i="25"/>
  <c r="J48" i="25" s="1"/>
  <c r="C47" i="25"/>
  <c r="J47" i="25" s="1"/>
  <c r="C46" i="25"/>
  <c r="J46" i="25" s="1"/>
  <c r="C45" i="25"/>
  <c r="I45" i="25" s="1"/>
  <c r="C44" i="25"/>
  <c r="I44" i="25" s="1"/>
  <c r="C42" i="25"/>
  <c r="C41" i="25"/>
  <c r="C40" i="25"/>
  <c r="C39" i="25"/>
  <c r="C38" i="25"/>
  <c r="C37" i="25"/>
  <c r="C36" i="25"/>
  <c r="C35" i="25"/>
  <c r="C25" i="25"/>
  <c r="C24" i="25"/>
  <c r="C23" i="25"/>
  <c r="C22" i="25"/>
  <c r="C21" i="25"/>
  <c r="C20" i="25"/>
  <c r="C19" i="25"/>
  <c r="C18" i="25"/>
  <c r="C17" i="25"/>
  <c r="C16" i="25"/>
  <c r="C15" i="25"/>
  <c r="C14" i="25"/>
  <c r="C6" i="25"/>
  <c r="C5" i="25"/>
  <c r="C4" i="25"/>
  <c r="C17" i="24"/>
  <c r="J17" i="24" s="1"/>
  <c r="C65" i="23"/>
  <c r="C54" i="23"/>
  <c r="C25" i="26"/>
  <c r="C24" i="26"/>
  <c r="C22" i="26"/>
  <c r="C21" i="26"/>
  <c r="C20" i="26"/>
  <c r="C18" i="26"/>
  <c r="C16" i="26"/>
  <c r="C15" i="26"/>
  <c r="C13" i="26"/>
  <c r="C12" i="26"/>
  <c r="C10" i="26"/>
  <c r="C8" i="26"/>
  <c r="C7" i="26"/>
  <c r="C6" i="26"/>
  <c r="C3" i="26"/>
  <c r="C39" i="26"/>
  <c r="C36" i="26"/>
  <c r="D85" i="25" l="1"/>
  <c r="H44" i="26"/>
  <c r="H2" i="25"/>
  <c r="H14" i="26"/>
  <c r="H23" i="26"/>
  <c r="G56" i="26"/>
  <c r="I77" i="25"/>
  <c r="J66" i="25"/>
  <c r="I66" i="25"/>
  <c r="I79" i="25"/>
  <c r="J79" i="25"/>
  <c r="J67" i="25"/>
  <c r="I67" i="25"/>
  <c r="J80" i="25"/>
  <c r="I80" i="25"/>
  <c r="I56" i="25"/>
  <c r="J56" i="25"/>
  <c r="J68" i="25"/>
  <c r="I68" i="25"/>
  <c r="J81" i="25"/>
  <c r="I81" i="25"/>
  <c r="I78" i="25"/>
  <c r="J78" i="25"/>
  <c r="J58" i="25"/>
  <c r="I58" i="25"/>
  <c r="J70" i="25"/>
  <c r="I70" i="25"/>
  <c r="J83" i="25"/>
  <c r="I83" i="25"/>
  <c r="J69" i="25"/>
  <c r="I69" i="25"/>
  <c r="I59" i="25"/>
  <c r="J59" i="25"/>
  <c r="I71" i="25"/>
  <c r="J71" i="25"/>
  <c r="I84" i="25"/>
  <c r="J84" i="25"/>
  <c r="J65" i="25"/>
  <c r="I65" i="25"/>
  <c r="J61" i="25"/>
  <c r="I61" i="25"/>
  <c r="I73" i="25"/>
  <c r="J73" i="25"/>
  <c r="J62" i="25"/>
  <c r="I62" i="25"/>
  <c r="J74" i="25"/>
  <c r="I74" i="25"/>
  <c r="J57" i="25"/>
  <c r="I57" i="25"/>
  <c r="J82" i="25"/>
  <c r="I82" i="25"/>
  <c r="J60" i="25"/>
  <c r="I60" i="25"/>
  <c r="I63" i="25"/>
  <c r="J63" i="25"/>
  <c r="I75" i="25"/>
  <c r="J75" i="25"/>
  <c r="I72" i="25"/>
  <c r="J72" i="25"/>
  <c r="J64" i="25"/>
  <c r="I64" i="25"/>
  <c r="H43" i="25"/>
  <c r="G85" i="25"/>
  <c r="I46" i="25"/>
  <c r="J45" i="25"/>
  <c r="I47" i="25"/>
  <c r="G35" i="26"/>
  <c r="J44" i="25"/>
  <c r="G47" i="26"/>
  <c r="C43" i="25"/>
  <c r="I48" i="25"/>
  <c r="I51" i="25"/>
  <c r="J51" i="25"/>
  <c r="I49" i="25"/>
  <c r="J49" i="25"/>
  <c r="I50" i="25"/>
  <c r="J50" i="25"/>
  <c r="C34" i="25"/>
  <c r="J35" i="25"/>
  <c r="I35" i="25"/>
  <c r="J8" i="25"/>
  <c r="I8" i="25"/>
  <c r="J20" i="25"/>
  <c r="I20" i="25"/>
  <c r="I17" i="25"/>
  <c r="J17" i="25"/>
  <c r="J19" i="25"/>
  <c r="I19" i="25"/>
  <c r="I10" i="25"/>
  <c r="J10" i="25"/>
  <c r="I21" i="25"/>
  <c r="J21" i="25"/>
  <c r="I38" i="25"/>
  <c r="J38" i="25"/>
  <c r="J37" i="25"/>
  <c r="I37" i="25"/>
  <c r="I39" i="25"/>
  <c r="J39" i="25"/>
  <c r="I7" i="25"/>
  <c r="J7" i="25"/>
  <c r="I40" i="25"/>
  <c r="J40" i="25"/>
  <c r="I18" i="25"/>
  <c r="J18" i="25"/>
  <c r="J11" i="25"/>
  <c r="I11" i="25"/>
  <c r="I22" i="25"/>
  <c r="J22" i="25"/>
  <c r="I12" i="25"/>
  <c r="J12" i="25"/>
  <c r="I23" i="25"/>
  <c r="J23" i="25"/>
  <c r="I13" i="25"/>
  <c r="J13" i="25"/>
  <c r="J24" i="25"/>
  <c r="I24" i="25"/>
  <c r="J41" i="25"/>
  <c r="I41" i="25"/>
  <c r="J6" i="25"/>
  <c r="I6" i="25"/>
  <c r="I42" i="25"/>
  <c r="J42" i="25"/>
  <c r="J9" i="25"/>
  <c r="I9" i="25"/>
  <c r="J25" i="25"/>
  <c r="I25" i="25"/>
  <c r="I14" i="25"/>
  <c r="J14" i="25"/>
  <c r="J26" i="25"/>
  <c r="I26" i="25"/>
  <c r="I29" i="25"/>
  <c r="J29" i="25"/>
  <c r="J36" i="25"/>
  <c r="I36" i="25"/>
  <c r="J4" i="25"/>
  <c r="I4" i="25"/>
  <c r="J15" i="25"/>
  <c r="I15" i="25"/>
  <c r="I27" i="25"/>
  <c r="J27" i="25"/>
  <c r="J30" i="25"/>
  <c r="I30" i="25"/>
  <c r="J5" i="25"/>
  <c r="I5" i="25"/>
  <c r="I16" i="25"/>
  <c r="J16" i="25"/>
  <c r="I28" i="25"/>
  <c r="J28" i="25"/>
  <c r="G34" i="26"/>
  <c r="F34" i="26"/>
  <c r="E34" i="26"/>
  <c r="D34" i="26"/>
  <c r="C34" i="26"/>
  <c r="H35" i="26" l="1"/>
  <c r="H47" i="26"/>
  <c r="H85" i="25"/>
  <c r="I34" i="25"/>
  <c r="J34" i="25"/>
  <c r="C19" i="23"/>
  <c r="A84" i="25"/>
  <c r="A83" i="25"/>
  <c r="A82" i="25"/>
  <c r="A80" i="25"/>
  <c r="A79" i="25"/>
  <c r="A78" i="25"/>
  <c r="A75" i="25"/>
  <c r="A74" i="25"/>
  <c r="A73" i="25"/>
  <c r="A71" i="25"/>
  <c r="A70" i="25"/>
  <c r="A69" i="25"/>
  <c r="A67" i="25"/>
  <c r="A66" i="25"/>
  <c r="A65" i="25"/>
  <c r="A63" i="25"/>
  <c r="A62" i="25"/>
  <c r="A61" i="25"/>
  <c r="A59" i="25"/>
  <c r="A58" i="25"/>
  <c r="A57" i="25"/>
  <c r="A51" i="25"/>
  <c r="A50" i="25"/>
  <c r="A49" i="25"/>
  <c r="A47" i="25"/>
  <c r="A46" i="25"/>
  <c r="A45" i="25"/>
  <c r="A42" i="25"/>
  <c r="A41" i="25"/>
  <c r="A40" i="25"/>
  <c r="A38" i="25"/>
  <c r="A37" i="25"/>
  <c r="A36" i="25"/>
  <c r="A33" i="25"/>
  <c r="A32" i="25"/>
  <c r="A31" i="25"/>
  <c r="A25" i="25"/>
  <c r="A24" i="25"/>
  <c r="A23" i="25"/>
  <c r="A21" i="25"/>
  <c r="A20" i="25"/>
  <c r="A19" i="25"/>
  <c r="A17" i="25"/>
  <c r="A16" i="25"/>
  <c r="A15" i="25"/>
  <c r="A6" i="25"/>
  <c r="A5" i="25"/>
  <c r="A4" i="25"/>
  <c r="G1" i="25"/>
  <c r="F1" i="25"/>
  <c r="E1" i="25"/>
  <c r="D1" i="25"/>
  <c r="C1" i="25"/>
  <c r="J19" i="23" l="1"/>
  <c r="I19" i="23"/>
  <c r="C26" i="23"/>
  <c r="C32" i="23"/>
  <c r="C30" i="23"/>
  <c r="D29" i="23"/>
  <c r="D28" i="23"/>
  <c r="C29" i="24"/>
  <c r="C26" i="24"/>
  <c r="J26" i="24" s="1"/>
  <c r="C25" i="24"/>
  <c r="J25" i="24" s="1"/>
  <c r="C24" i="24"/>
  <c r="J24" i="24" s="1"/>
  <c r="C23" i="24"/>
  <c r="J23" i="24" s="1"/>
  <c r="C22" i="24"/>
  <c r="J22" i="24" s="1"/>
  <c r="C21" i="24"/>
  <c r="J21" i="24" s="1"/>
  <c r="C20" i="24"/>
  <c r="J20" i="24" s="1"/>
  <c r="C19" i="24"/>
  <c r="J19" i="24" s="1"/>
  <c r="C18" i="24"/>
  <c r="J18" i="24" s="1"/>
  <c r="C16" i="24"/>
  <c r="J16" i="24" s="1"/>
  <c r="C28" i="24"/>
  <c r="G1" i="24"/>
  <c r="F1" i="24"/>
  <c r="E1" i="24"/>
  <c r="D1" i="24"/>
  <c r="C1" i="24"/>
  <c r="C13" i="24"/>
  <c r="J13" i="24" s="1"/>
  <c r="C12" i="24"/>
  <c r="J12" i="24" s="1"/>
  <c r="C3" i="25"/>
  <c r="G1" i="26"/>
  <c r="F1" i="26"/>
  <c r="E1" i="26"/>
  <c r="D1" i="26"/>
  <c r="C1" i="26"/>
  <c r="B38" i="27"/>
  <c r="J26" i="23" l="1"/>
  <c r="I26" i="23"/>
  <c r="I3" i="25"/>
  <c r="J3" i="25"/>
  <c r="H5" i="10"/>
  <c r="E5" i="10"/>
  <c r="F50" i="23"/>
  <c r="E50" i="23"/>
  <c r="D50" i="23"/>
  <c r="C50" i="23"/>
  <c r="G10" i="23"/>
  <c r="D10" i="23"/>
  <c r="C56" i="26"/>
  <c r="C44" i="26"/>
  <c r="B58" i="27"/>
  <c r="B57" i="27"/>
  <c r="B56" i="27"/>
  <c r="B54" i="27"/>
  <c r="B53" i="27"/>
  <c r="B51" i="27"/>
  <c r="B50" i="27"/>
  <c r="B49" i="27"/>
  <c r="B48" i="27"/>
  <c r="B47" i="27"/>
  <c r="B46" i="27"/>
  <c r="B45" i="27"/>
  <c r="B44" i="27"/>
  <c r="B43" i="27"/>
  <c r="B42" i="27"/>
  <c r="B40" i="27"/>
  <c r="B39" i="27"/>
  <c r="B36" i="27"/>
  <c r="B35" i="27"/>
  <c r="B34" i="27"/>
  <c r="B32" i="27"/>
  <c r="B30" i="27"/>
  <c r="B28" i="27"/>
  <c r="B27" i="27"/>
  <c r="B26" i="27"/>
  <c r="B25" i="27"/>
  <c r="B24" i="27"/>
  <c r="B23" i="27"/>
  <c r="B22" i="27"/>
  <c r="B21" i="27"/>
  <c r="B20" i="27"/>
  <c r="B19" i="27"/>
  <c r="J30" i="24"/>
  <c r="H30" i="24"/>
  <c r="I29" i="24"/>
  <c r="H29" i="24"/>
  <c r="H28" i="24"/>
  <c r="I27" i="24"/>
  <c r="I15" i="24"/>
  <c r="H13" i="24"/>
  <c r="I11" i="24"/>
  <c r="I27" i="23"/>
  <c r="I18" i="23"/>
  <c r="I11" i="23"/>
  <c r="F41" i="23"/>
  <c r="E41" i="23"/>
  <c r="D41" i="23"/>
  <c r="C60" i="23"/>
  <c r="G10" i="24"/>
  <c r="F10" i="24"/>
  <c r="E10" i="24"/>
  <c r="D10" i="24"/>
  <c r="C10" i="24"/>
  <c r="G7" i="24"/>
  <c r="F7" i="24"/>
  <c r="E7" i="24"/>
  <c r="C7" i="24"/>
  <c r="F7" i="23"/>
  <c r="E7" i="23"/>
  <c r="D7" i="23"/>
  <c r="C7" i="23"/>
  <c r="G47" i="23"/>
  <c r="F47" i="23"/>
  <c r="E47" i="23"/>
  <c r="D47" i="23"/>
  <c r="C47" i="23"/>
  <c r="G2" i="13"/>
  <c r="H2" i="13"/>
  <c r="F2" i="13"/>
  <c r="E2" i="13"/>
  <c r="D2" i="13"/>
  <c r="F8" i="23"/>
  <c r="E8" i="23"/>
  <c r="D8" i="23"/>
  <c r="C8" i="23"/>
  <c r="F48" i="23"/>
  <c r="E48" i="23"/>
  <c r="D48" i="23"/>
  <c r="C48" i="23"/>
  <c r="G48" i="23"/>
  <c r="F8" i="2"/>
  <c r="E8" i="2"/>
  <c r="D8" i="2"/>
  <c r="C8" i="2"/>
  <c r="G5" i="10" l="1"/>
  <c r="I5" i="10" s="1"/>
  <c r="F10" i="23"/>
  <c r="F5" i="10"/>
  <c r="E10" i="23"/>
  <c r="D5" i="10"/>
  <c r="C10" i="23"/>
  <c r="J44" i="26"/>
  <c r="I44" i="26"/>
  <c r="J6" i="10"/>
  <c r="I10" i="23" s="1"/>
  <c r="K6" i="10"/>
  <c r="J10" i="23" s="1"/>
  <c r="I6" i="10"/>
  <c r="H10" i="23" s="1"/>
  <c r="K7" i="10"/>
  <c r="J7" i="10"/>
  <c r="I7" i="10"/>
  <c r="G50" i="23"/>
  <c r="I4" i="10"/>
  <c r="H50" i="23" s="1"/>
  <c r="K4" i="10"/>
  <c r="J50" i="23" s="1"/>
  <c r="J4" i="10"/>
  <c r="I50" i="23" s="1"/>
  <c r="K8" i="10"/>
  <c r="J10" i="24" s="1"/>
  <c r="J8" i="10"/>
  <c r="I10" i="24" s="1"/>
  <c r="I8" i="10"/>
  <c r="H10" i="24" s="1"/>
  <c r="J8" i="8"/>
  <c r="I8" i="8"/>
  <c r="K8" i="8"/>
  <c r="K7" i="7"/>
  <c r="J7" i="24" s="1"/>
  <c r="J7" i="7"/>
  <c r="I7" i="24" s="1"/>
  <c r="I7" i="7"/>
  <c r="H7" i="24" s="1"/>
  <c r="K6" i="8"/>
  <c r="J8" i="23" s="1"/>
  <c r="J6" i="8"/>
  <c r="I8" i="23" s="1"/>
  <c r="I6" i="8"/>
  <c r="H8" i="23" s="1"/>
  <c r="K4" i="8"/>
  <c r="J48" i="23" s="1"/>
  <c r="J4" i="8"/>
  <c r="I48" i="23" s="1"/>
  <c r="I4" i="8"/>
  <c r="H48" i="23" s="1"/>
  <c r="G7" i="23"/>
  <c r="K6" i="7"/>
  <c r="J7" i="23" s="1"/>
  <c r="J6" i="7"/>
  <c r="I7" i="23" s="1"/>
  <c r="I6" i="7"/>
  <c r="H7" i="23" s="1"/>
  <c r="K4" i="7"/>
  <c r="J47" i="23" s="1"/>
  <c r="J4" i="7"/>
  <c r="I47" i="23" s="1"/>
  <c r="I4" i="7"/>
  <c r="H47" i="23" s="1"/>
  <c r="K5" i="8"/>
  <c r="I5" i="8"/>
  <c r="J5" i="8"/>
  <c r="D7" i="24"/>
  <c r="G8" i="23"/>
  <c r="J29" i="24"/>
  <c r="I30" i="24"/>
  <c r="C47" i="26"/>
  <c r="C35" i="26"/>
  <c r="H56" i="26"/>
  <c r="J56" i="26"/>
  <c r="H12" i="24"/>
  <c r="J28" i="24"/>
  <c r="I13" i="24"/>
  <c r="I28" i="24"/>
  <c r="I12" i="24"/>
  <c r="D60" i="23"/>
  <c r="E60" i="23"/>
  <c r="C41" i="23"/>
  <c r="F60" i="23"/>
  <c r="K5" i="10" l="1"/>
  <c r="J5" i="10"/>
  <c r="J47" i="26"/>
  <c r="I47" i="26"/>
  <c r="J35" i="26"/>
  <c r="I35" i="26"/>
  <c r="J60" i="26" l="1"/>
  <c r="H60" i="26"/>
  <c r="F10" i="2" l="1"/>
  <c r="E10" i="2"/>
  <c r="D10" i="2"/>
  <c r="C10" i="2"/>
  <c r="C9" i="23"/>
  <c r="D9" i="23"/>
  <c r="E9" i="23"/>
  <c r="F9" i="23"/>
  <c r="G49" i="23"/>
  <c r="F49" i="23"/>
  <c r="E49" i="23"/>
  <c r="D49" i="23"/>
  <c r="C49" i="23"/>
  <c r="C9" i="2"/>
  <c r="D9" i="2"/>
  <c r="E9" i="2"/>
  <c r="C7" i="2"/>
  <c r="D7" i="2"/>
  <c r="G46" i="23"/>
  <c r="E46" i="23"/>
  <c r="D46" i="23"/>
  <c r="C46" i="23"/>
  <c r="C6" i="23"/>
  <c r="D6" i="23"/>
  <c r="E6" i="23"/>
  <c r="F6" i="23"/>
  <c r="E6" i="24"/>
  <c r="D6" i="24"/>
  <c r="C6" i="24"/>
  <c r="G6" i="24"/>
  <c r="F6" i="24"/>
  <c r="F6" i="2"/>
  <c r="E6" i="2"/>
  <c r="D6" i="2"/>
  <c r="C6" i="2"/>
  <c r="G45" i="23"/>
  <c r="F45" i="23"/>
  <c r="E45" i="23"/>
  <c r="D45" i="23"/>
  <c r="C45" i="23"/>
  <c r="F5" i="24"/>
  <c r="G5" i="24"/>
  <c r="E5" i="2"/>
  <c r="D5" i="2"/>
  <c r="C5" i="2"/>
  <c r="C4" i="23"/>
  <c r="D4" i="23"/>
  <c r="E4" i="23"/>
  <c r="F4" i="23"/>
  <c r="G44" i="23"/>
  <c r="F44" i="23"/>
  <c r="E44" i="23"/>
  <c r="D44" i="23"/>
  <c r="C44" i="23"/>
  <c r="C4" i="2"/>
  <c r="D4" i="2"/>
  <c r="E4" i="2"/>
  <c r="F4" i="2"/>
  <c r="K13" i="3"/>
  <c r="J36" i="26" s="1"/>
  <c r="K12" i="3"/>
  <c r="J3" i="26" s="1"/>
  <c r="K11" i="3"/>
  <c r="K10" i="3"/>
  <c r="K9" i="3"/>
  <c r="K8" i="3"/>
  <c r="H2" i="10"/>
  <c r="G2" i="10"/>
  <c r="F2" i="10"/>
  <c r="E2" i="10"/>
  <c r="D2" i="10"/>
  <c r="H2" i="9"/>
  <c r="G2" i="9"/>
  <c r="F2" i="9"/>
  <c r="E2" i="9"/>
  <c r="D2" i="9"/>
  <c r="H2" i="8"/>
  <c r="G2" i="8"/>
  <c r="F2" i="8"/>
  <c r="E2" i="8"/>
  <c r="D2" i="8"/>
  <c r="H2" i="7"/>
  <c r="G2" i="7"/>
  <c r="F2" i="7"/>
  <c r="E2" i="7"/>
  <c r="D2" i="7"/>
  <c r="H2" i="6"/>
  <c r="G2" i="6"/>
  <c r="F2" i="6"/>
  <c r="E2" i="6"/>
  <c r="D2" i="6"/>
  <c r="H2" i="5"/>
  <c r="G2" i="5"/>
  <c r="F2" i="5"/>
  <c r="E2" i="5"/>
  <c r="D2" i="5"/>
  <c r="H2" i="4"/>
  <c r="G2" i="4"/>
  <c r="F2" i="4"/>
  <c r="E2" i="4"/>
  <c r="D2" i="4"/>
  <c r="I13" i="3"/>
  <c r="H36" i="26" s="1"/>
  <c r="I12" i="3"/>
  <c r="H3" i="26" s="1"/>
  <c r="I11" i="3"/>
  <c r="I10" i="3"/>
  <c r="I9" i="3"/>
  <c r="I8" i="3"/>
  <c r="J13" i="3"/>
  <c r="I36" i="26" s="1"/>
  <c r="J12" i="3"/>
  <c r="I3" i="26" s="1"/>
  <c r="J11" i="3"/>
  <c r="J10" i="3"/>
  <c r="J9" i="3"/>
  <c r="J8" i="3"/>
  <c r="C3" i="23"/>
  <c r="E3" i="23"/>
  <c r="F3" i="23"/>
  <c r="G43" i="23"/>
  <c r="F43" i="23"/>
  <c r="E43" i="23"/>
  <c r="D43" i="23"/>
  <c r="C43" i="23"/>
  <c r="D3" i="2"/>
  <c r="E3" i="2"/>
  <c r="F3" i="2"/>
  <c r="I6" i="4" l="1"/>
  <c r="H4" i="23" s="1"/>
  <c r="F46" i="23"/>
  <c r="E5" i="23"/>
  <c r="F5" i="23"/>
  <c r="C5" i="23"/>
  <c r="D5" i="23"/>
  <c r="I7" i="6"/>
  <c r="H6" i="24" s="1"/>
  <c r="K7" i="6"/>
  <c r="J6" i="24" s="1"/>
  <c r="J7" i="6"/>
  <c r="I6" i="24" s="1"/>
  <c r="I7" i="5"/>
  <c r="H5" i="24" s="1"/>
  <c r="K7" i="9"/>
  <c r="J9" i="24" s="1"/>
  <c r="J7" i="9"/>
  <c r="I9" i="24" s="1"/>
  <c r="H9" i="24"/>
  <c r="J4" i="6"/>
  <c r="I46" i="23" s="1"/>
  <c r="K4" i="6"/>
  <c r="J46" i="23" s="1"/>
  <c r="I4" i="6"/>
  <c r="H46" i="23" s="1"/>
  <c r="K4" i="4"/>
  <c r="J44" i="23" s="1"/>
  <c r="I4" i="4"/>
  <c r="H44" i="23" s="1"/>
  <c r="J4" i="4"/>
  <c r="I44" i="23" s="1"/>
  <c r="I4" i="5"/>
  <c r="H45" i="23" s="1"/>
  <c r="K4" i="5"/>
  <c r="J45" i="23" s="1"/>
  <c r="J4" i="5"/>
  <c r="I45" i="23" s="1"/>
  <c r="K4" i="9"/>
  <c r="J49" i="23" s="1"/>
  <c r="J4" i="9"/>
  <c r="I49" i="23" s="1"/>
  <c r="I4" i="9"/>
  <c r="H49" i="23" s="1"/>
  <c r="K6" i="4"/>
  <c r="J4" i="23" s="1"/>
  <c r="J6" i="4"/>
  <c r="I4" i="23" s="1"/>
  <c r="K6" i="5"/>
  <c r="J5" i="23" s="1"/>
  <c r="J6" i="5"/>
  <c r="I5" i="23" s="1"/>
  <c r="I6" i="5"/>
  <c r="H5" i="23" s="1"/>
  <c r="K6" i="6"/>
  <c r="J6" i="23" s="1"/>
  <c r="I6" i="6"/>
  <c r="H6" i="23" s="1"/>
  <c r="J6" i="6"/>
  <c r="I6" i="23" s="1"/>
  <c r="I6" i="9"/>
  <c r="H9" i="23" s="1"/>
  <c r="K6" i="9"/>
  <c r="J9" i="23" s="1"/>
  <c r="J6" i="9"/>
  <c r="I9" i="23" s="1"/>
  <c r="D2" i="2"/>
  <c r="C3" i="2"/>
  <c r="C2" i="2" s="1"/>
  <c r="G4" i="23"/>
  <c r="D3" i="23"/>
  <c r="G5" i="23"/>
  <c r="I6" i="3"/>
  <c r="H3" i="23" s="1"/>
  <c r="G3" i="23"/>
  <c r="J43" i="23"/>
  <c r="G6" i="23"/>
  <c r="G9" i="23"/>
  <c r="I43" i="23"/>
  <c r="H43" i="23"/>
  <c r="J6" i="3"/>
  <c r="I3" i="23" s="1"/>
  <c r="K6" i="3"/>
  <c r="J3" i="23" s="1"/>
  <c r="I5" i="9"/>
  <c r="K5" i="9" l="1"/>
  <c r="I5" i="4"/>
  <c r="K5" i="4"/>
  <c r="J5" i="4"/>
  <c r="J5" i="9"/>
  <c r="I5" i="7"/>
  <c r="K5" i="7"/>
  <c r="J5" i="7"/>
  <c r="K5" i="5"/>
  <c r="J5" i="5"/>
  <c r="I5" i="5"/>
  <c r="K5" i="6"/>
  <c r="J5" i="6"/>
  <c r="I5" i="6"/>
  <c r="K5" i="3"/>
  <c r="I5" i="3"/>
  <c r="J5" i="3"/>
  <c r="H2" i="3" l="1"/>
  <c r="G2" i="3"/>
  <c r="F2" i="3"/>
  <c r="E2" i="3"/>
  <c r="D2" i="3"/>
  <c r="C2" i="25" l="1"/>
  <c r="I2" i="25" l="1"/>
  <c r="J2" i="25"/>
  <c r="C76" i="25"/>
  <c r="I76" i="25" l="1"/>
  <c r="J76" i="25"/>
  <c r="C85" i="25"/>
  <c r="J43" i="25"/>
  <c r="I43" i="25"/>
  <c r="I85" i="25" l="1"/>
  <c r="J85" i="25"/>
  <c r="G2" i="26"/>
  <c r="G26" i="26" l="1"/>
  <c r="G59" i="26" s="1"/>
  <c r="C23" i="26" l="1"/>
  <c r="J23" i="26" l="1"/>
  <c r="I23" i="26"/>
  <c r="C11" i="26"/>
  <c r="I11" i="26" l="1"/>
  <c r="J11" i="26"/>
  <c r="C14" i="26"/>
  <c r="I14" i="26" l="1"/>
  <c r="J14" i="26"/>
  <c r="D2" i="26"/>
  <c r="D26" i="26" s="1"/>
  <c r="D59" i="26" s="1"/>
  <c r="C2" i="26"/>
  <c r="E2" i="26"/>
  <c r="E26" i="26" s="1"/>
  <c r="E59" i="26" s="1"/>
  <c r="C26" i="26" l="1"/>
  <c r="C59" i="26" s="1"/>
  <c r="F2" i="26"/>
  <c r="J2" i="26" s="1"/>
  <c r="F26" i="26" l="1"/>
  <c r="H2" i="26"/>
  <c r="I2" i="26"/>
  <c r="H26" i="26" l="1"/>
  <c r="F59" i="26"/>
  <c r="H59" i="26" s="1"/>
  <c r="J26" i="26"/>
  <c r="I26" i="26"/>
  <c r="I59" i="26" s="1"/>
  <c r="C8" i="24" l="1"/>
  <c r="D8" i="24"/>
  <c r="E8" i="24"/>
  <c r="F8" i="24"/>
  <c r="G8" i="24" l="1"/>
  <c r="K7" i="8"/>
  <c r="J8" i="24" s="1"/>
  <c r="J7" i="8"/>
  <c r="I8" i="24" s="1"/>
  <c r="I7" i="8"/>
  <c r="H8" i="24" s="1"/>
  <c r="D4" i="24" l="1"/>
  <c r="E4" i="24"/>
  <c r="F4" i="24"/>
  <c r="C3" i="24"/>
  <c r="D3" i="24"/>
  <c r="E3" i="24"/>
  <c r="F3" i="24"/>
  <c r="G4" i="24" l="1"/>
  <c r="I7" i="4"/>
  <c r="H4" i="24" s="1"/>
  <c r="G3" i="24"/>
  <c r="K7" i="3"/>
  <c r="J3" i="24" s="1"/>
  <c r="J7" i="3"/>
  <c r="I3" i="24" s="1"/>
  <c r="I7" i="3"/>
  <c r="H3" i="24" s="1"/>
  <c r="E14" i="24" l="1"/>
  <c r="H14" i="24" s="1"/>
  <c r="D14" i="24"/>
  <c r="E5" i="24"/>
  <c r="D5" i="24"/>
  <c r="K7" i="12" l="1"/>
  <c r="J7" i="12"/>
  <c r="C14" i="24"/>
  <c r="C4" i="24"/>
  <c r="K7" i="4"/>
  <c r="J4" i="24" s="1"/>
  <c r="J7" i="4"/>
  <c r="I4" i="24" s="1"/>
  <c r="C5" i="24"/>
  <c r="K7" i="5"/>
  <c r="J5" i="24" s="1"/>
  <c r="J7" i="5"/>
  <c r="I5" i="24" s="1"/>
  <c r="J14" i="24" l="1"/>
  <c r="I14" i="24"/>
  <c r="J3" i="8" l="1"/>
  <c r="K3" i="8"/>
  <c r="I3" i="8"/>
  <c r="G8" i="2"/>
  <c r="K3" i="3"/>
  <c r="J3" i="3"/>
  <c r="G3" i="2"/>
  <c r="I3" i="3"/>
  <c r="K3" i="4"/>
  <c r="G4" i="2"/>
  <c r="J3" i="4"/>
  <c r="I3" i="4"/>
  <c r="H3" i="2" l="1"/>
  <c r="I3" i="2"/>
  <c r="J3" i="2"/>
  <c r="I3" i="10"/>
  <c r="J3" i="10"/>
  <c r="K3" i="10"/>
  <c r="G10" i="2"/>
  <c r="K3" i="6"/>
  <c r="G6" i="2"/>
  <c r="I3" i="6"/>
  <c r="J3" i="6"/>
  <c r="I8" i="2"/>
  <c r="J8" i="2"/>
  <c r="H8" i="2"/>
  <c r="I4" i="2"/>
  <c r="J4" i="2"/>
  <c r="H4" i="2"/>
  <c r="J6" i="2" l="1"/>
  <c r="H6" i="2"/>
  <c r="I6" i="2"/>
  <c r="J10" i="2"/>
  <c r="I10" i="2"/>
  <c r="H10" i="2"/>
  <c r="F9" i="2" l="1"/>
  <c r="F5" i="2" l="1"/>
  <c r="K3" i="9"/>
  <c r="J3" i="9"/>
  <c r="G9" i="2"/>
  <c r="I3" i="9"/>
  <c r="J9" i="2" l="1"/>
  <c r="I9" i="2"/>
  <c r="H9" i="2"/>
  <c r="K3" i="5" l="1"/>
  <c r="J3" i="5"/>
  <c r="I3" i="5"/>
  <c r="G5" i="2"/>
  <c r="H5" i="2" l="1"/>
  <c r="I5" i="2"/>
  <c r="J5" i="2"/>
  <c r="J3" i="16" l="1"/>
  <c r="I66" i="23" s="1"/>
  <c r="G21" i="2"/>
  <c r="I3" i="16"/>
  <c r="H66" i="23" s="1"/>
  <c r="K3" i="16"/>
  <c r="J66" i="23" s="1"/>
  <c r="J21" i="2" l="1"/>
  <c r="I21" i="2"/>
  <c r="H21" i="2"/>
  <c r="G7" i="2" l="1"/>
  <c r="I3" i="17" l="1"/>
  <c r="H67" i="23" s="1"/>
  <c r="J3" i="17"/>
  <c r="I67" i="23" s="1"/>
  <c r="G22" i="2"/>
  <c r="K3" i="17"/>
  <c r="J67" i="23" s="1"/>
  <c r="H22" i="2" l="1"/>
  <c r="I22" i="2"/>
  <c r="J22" i="2"/>
  <c r="E7" i="2" l="1"/>
  <c r="K3" i="7"/>
  <c r="J3" i="7" l="1"/>
  <c r="F7" i="2"/>
  <c r="I3" i="7"/>
  <c r="E2" i="2"/>
  <c r="J7" i="2"/>
  <c r="I7" i="2"/>
  <c r="F2" i="2" l="1"/>
  <c r="H7" i="2"/>
  <c r="D17" i="2" l="1"/>
  <c r="D32" i="2" s="1"/>
  <c r="C17" i="2" l="1"/>
  <c r="C32" i="2" s="1"/>
  <c r="F15" i="2" l="1"/>
  <c r="F14" i="2"/>
  <c r="G3" i="11" l="1"/>
  <c r="F13" i="2"/>
  <c r="F16" i="2"/>
  <c r="J3" i="12"/>
  <c r="K3" i="12"/>
  <c r="I3" i="12"/>
  <c r="K6" i="11" l="1"/>
  <c r="J6" i="11"/>
  <c r="I6" i="11"/>
  <c r="G15" i="2"/>
  <c r="J16" i="2"/>
  <c r="H16" i="2"/>
  <c r="I16" i="2"/>
  <c r="F12" i="2"/>
  <c r="G13" i="2"/>
  <c r="K4" i="11"/>
  <c r="I4" i="11"/>
  <c r="J4" i="11"/>
  <c r="H3" i="11"/>
  <c r="G14" i="2"/>
  <c r="I5" i="11"/>
  <c r="J5" i="11"/>
  <c r="K5" i="11"/>
  <c r="I14" i="2" l="1"/>
  <c r="H14" i="2"/>
  <c r="J14" i="2"/>
  <c r="K3" i="11"/>
  <c r="J3" i="11"/>
  <c r="I3" i="11"/>
  <c r="J13" i="2"/>
  <c r="I13" i="2"/>
  <c r="H13" i="2"/>
  <c r="G12" i="2"/>
  <c r="H15" i="2"/>
  <c r="I15" i="2"/>
  <c r="J15" i="2"/>
  <c r="H12" i="2" l="1"/>
  <c r="I12" i="2"/>
  <c r="J12" i="2"/>
  <c r="H26" i="2" l="1"/>
  <c r="I26" i="2"/>
  <c r="J26" i="2"/>
  <c r="I3" i="15" l="1"/>
  <c r="G20" i="2"/>
  <c r="J3" i="15"/>
  <c r="K3" i="15"/>
  <c r="H20" i="2" l="1"/>
  <c r="I20" i="2"/>
  <c r="J20" i="2"/>
  <c r="I4" i="21" l="1"/>
  <c r="G28" i="2"/>
  <c r="K4" i="21"/>
  <c r="J4" i="21"/>
  <c r="J28" i="2" l="1"/>
  <c r="H28" i="2"/>
  <c r="I28" i="2"/>
  <c r="I5" i="22" l="1"/>
  <c r="K5" i="22"/>
  <c r="J5" i="22"/>
  <c r="G31" i="2"/>
  <c r="H31" i="2" l="1"/>
  <c r="I31" i="2"/>
  <c r="J31" i="2"/>
  <c r="E24" i="2" l="1"/>
  <c r="E17" i="2" s="1"/>
  <c r="E32" i="2" s="1"/>
  <c r="K5" i="21" l="1"/>
  <c r="J5" i="21"/>
  <c r="I5" i="21"/>
  <c r="G29" i="2"/>
  <c r="H3" i="21"/>
  <c r="F24" i="2"/>
  <c r="F17" i="2" s="1"/>
  <c r="F32" i="2" s="1"/>
  <c r="G24" i="2" l="1"/>
  <c r="I3" i="19"/>
  <c r="H68" i="23" s="1"/>
  <c r="K3" i="19"/>
  <c r="J68" i="23" s="1"/>
  <c r="J3" i="19"/>
  <c r="I68" i="23" s="1"/>
  <c r="J3" i="21"/>
  <c r="K3" i="21"/>
  <c r="I3" i="21"/>
  <c r="I29" i="2"/>
  <c r="J29" i="2"/>
  <c r="H29" i="2"/>
  <c r="I24" i="2" l="1"/>
  <c r="H24" i="2"/>
  <c r="J24" i="2"/>
  <c r="G30" i="2" l="1"/>
  <c r="K4" i="22"/>
  <c r="I4" i="22"/>
  <c r="J4" i="22"/>
  <c r="H3" i="22"/>
  <c r="K3" i="22" l="1"/>
  <c r="I3" i="22"/>
  <c r="J3" i="22"/>
  <c r="I30" i="2"/>
  <c r="J30" i="2"/>
  <c r="H30" i="2"/>
  <c r="G27" i="2"/>
  <c r="J27" i="2" l="1"/>
  <c r="I27" i="2"/>
  <c r="H27" i="2"/>
  <c r="J11" i="2" l="1"/>
  <c r="I11" i="2"/>
  <c r="H11" i="2"/>
  <c r="G2" i="2"/>
  <c r="H2" i="2" l="1"/>
  <c r="J2" i="2"/>
  <c r="I2" i="2"/>
  <c r="G23" i="2" l="1"/>
  <c r="J3" i="18"/>
  <c r="K3" i="18"/>
  <c r="I3" i="18"/>
  <c r="I23" i="2" l="1"/>
  <c r="H23" i="2"/>
  <c r="J23" i="2"/>
  <c r="G17" i="2"/>
  <c r="J17" i="2" l="1"/>
  <c r="H17" i="2"/>
  <c r="I17" i="2"/>
  <c r="G32" i="2"/>
  <c r="I32" i="2" l="1"/>
  <c r="H32" i="2"/>
  <c r="J32" i="2"/>
</calcChain>
</file>

<file path=xl/sharedStrings.xml><?xml version="1.0" encoding="utf-8"?>
<sst xmlns="http://schemas.openxmlformats.org/spreadsheetml/2006/main" count="2143" uniqueCount="451">
  <si>
    <t xml:space="preserve">Name </t>
  </si>
  <si>
    <t>PDI Statistics Tables 2025</t>
  </si>
  <si>
    <t>Purpose</t>
  </si>
  <si>
    <t>Reporting historical statistics for a range of industries and measures</t>
  </si>
  <si>
    <t xml:space="preserve">Prepared By </t>
  </si>
  <si>
    <t>Niall Cummings, Insights &amp; Industry Analysis</t>
  </si>
  <si>
    <t>Prepared</t>
  </si>
  <si>
    <t>November 2025</t>
  </si>
  <si>
    <t>Catalogue Index</t>
  </si>
  <si>
    <t>Wheat</t>
  </si>
  <si>
    <t>Barley</t>
  </si>
  <si>
    <t>Rice</t>
  </si>
  <si>
    <t>Coarse Grains</t>
  </si>
  <si>
    <t>Pulses</t>
  </si>
  <si>
    <t>Oilseeds</t>
  </si>
  <si>
    <t>Cotton Lint</t>
  </si>
  <si>
    <t>Sugarcane</t>
  </si>
  <si>
    <t>Horticulture</t>
  </si>
  <si>
    <t>Wine</t>
  </si>
  <si>
    <t>Beef</t>
  </si>
  <si>
    <t>Sheep Meat</t>
  </si>
  <si>
    <t>Goat Meat</t>
  </si>
  <si>
    <t>Pork</t>
  </si>
  <si>
    <t>Poultry</t>
  </si>
  <si>
    <t>Wool</t>
  </si>
  <si>
    <t>Eggs</t>
  </si>
  <si>
    <t>Milk</t>
  </si>
  <si>
    <t>Forestry</t>
  </si>
  <si>
    <t>Fisheries</t>
  </si>
  <si>
    <t>Gross Value of Production</t>
  </si>
  <si>
    <t>Production Data Consolidated</t>
  </si>
  <si>
    <t>Price Data Consolidated</t>
  </si>
  <si>
    <t>Exports Data Consolidated</t>
  </si>
  <si>
    <t>Imports &amp; Trade Balance Data Consolidated</t>
  </si>
  <si>
    <t>Jobs &amp; Businesses Consolidated</t>
  </si>
  <si>
    <t>Consolidated Footnotes</t>
  </si>
  <si>
    <t>Measure</t>
  </si>
  <si>
    <t>Destination</t>
  </si>
  <si>
    <t>Units</t>
  </si>
  <si>
    <t>Year On Year Change (%)</t>
  </si>
  <si>
    <t>5 Year MA</t>
  </si>
  <si>
    <t>5 Year MA Change (%)</t>
  </si>
  <si>
    <t>Data Source PDI Shortname</t>
  </si>
  <si>
    <t>Data Source Full Reference</t>
  </si>
  <si>
    <t>Gross Value of Production (GVP)</t>
  </si>
  <si>
    <t>$m</t>
  </si>
  <si>
    <t>Area Planted</t>
  </si>
  <si>
    <t>000 ha</t>
  </si>
  <si>
    <t>Yield</t>
  </si>
  <si>
    <t>tonnes/ha</t>
  </si>
  <si>
    <t>Production</t>
  </si>
  <si>
    <t>000 tonnes</t>
  </si>
  <si>
    <t>Price</t>
  </si>
  <si>
    <t>$/tonne</t>
  </si>
  <si>
    <t>ABARES (2023b)</t>
  </si>
  <si>
    <t>Australian Bureau of Agricultural and Resource Economics and Sciences (2023). Agricultural Commodities, September 2023. Last accessed October 2023.</t>
  </si>
  <si>
    <t>Export Value</t>
  </si>
  <si>
    <t xml:space="preserve">Total </t>
  </si>
  <si>
    <t>S&amp;P Global (2025)</t>
  </si>
  <si>
    <t>S&amp;P Global (2025). Global Trade Atlas. https://connect.spglobal.com/gta/home/. Last accessed September 2025</t>
  </si>
  <si>
    <t>Imports</t>
  </si>
  <si>
    <r>
      <t>Trade Balance</t>
    </r>
    <r>
      <rPr>
        <vertAlign val="superscript"/>
        <sz val="9"/>
        <color theme="1"/>
        <rFont val="Arial"/>
        <family val="2"/>
      </rPr>
      <t>n</t>
    </r>
  </si>
  <si>
    <r>
      <rPr>
        <vertAlign val="superscript"/>
        <sz val="9"/>
        <color theme="1"/>
        <rFont val="Arial"/>
        <family val="2"/>
      </rPr>
      <t>e</t>
    </r>
    <r>
      <rPr>
        <sz val="9"/>
        <color theme="1"/>
        <rFont val="Arial"/>
        <family val="2"/>
      </rPr>
      <t xml:space="preserve"> DPI estimate only, subject to revision</t>
    </r>
  </si>
  <si>
    <r>
      <rPr>
        <vertAlign val="superscript"/>
        <sz val="9"/>
        <color theme="1"/>
        <rFont val="Arial"/>
        <family val="2"/>
      </rPr>
      <t>n</t>
    </r>
    <r>
      <rPr>
        <sz val="9"/>
        <color theme="1"/>
        <rFont val="Arial"/>
        <family val="2"/>
      </rPr>
      <t xml:space="preserve"> Negative values denote a net import trade flow</t>
    </r>
  </si>
  <si>
    <r>
      <t>Export Value (NSW)</t>
    </r>
    <r>
      <rPr>
        <vertAlign val="superscript"/>
        <sz val="9"/>
        <color theme="1"/>
        <rFont val="Arial"/>
        <family val="2"/>
      </rPr>
      <t>j</t>
    </r>
  </si>
  <si>
    <t>Imports (NSW)</t>
  </si>
  <si>
    <r>
      <t>Export Value (Australia)</t>
    </r>
    <r>
      <rPr>
        <vertAlign val="superscript"/>
        <sz val="9"/>
        <color theme="1"/>
        <rFont val="Arial"/>
        <family val="2"/>
      </rPr>
      <t>j</t>
    </r>
  </si>
  <si>
    <t>Imports (Australia)</t>
  </si>
  <si>
    <t>Export Value (NSW)</t>
  </si>
  <si>
    <t>Export Value (Australia)</t>
  </si>
  <si>
    <t>Coarse Grains (Sorghum, Corn and Oats)</t>
  </si>
  <si>
    <t>Price (Sorghum)</t>
  </si>
  <si>
    <t>Export Value (Sorghum)</t>
  </si>
  <si>
    <t>Imports (Sorghum)</t>
  </si>
  <si>
    <t>N/A</t>
  </si>
  <si>
    <t>Price (Chickpeas)</t>
  </si>
  <si>
    <t>Canola</t>
  </si>
  <si>
    <t>Yield (Canola)</t>
  </si>
  <si>
    <t>Price (Canola)</t>
  </si>
  <si>
    <t>Price (Soybeans)</t>
  </si>
  <si>
    <t>ABARES (2022)</t>
  </si>
  <si>
    <t>Australian Bureau of Agricultural and Resource Economics and Sciences (2022). Agricultural Commodities, September 2022. Last accessed October 2023.</t>
  </si>
  <si>
    <t>Harvested Area</t>
  </si>
  <si>
    <t>bales/ha</t>
  </si>
  <si>
    <t>000 bales (227kg)</t>
  </si>
  <si>
    <t>$/bale</t>
  </si>
  <si>
    <r>
      <rPr>
        <vertAlign val="superscript"/>
        <sz val="9"/>
        <color theme="1"/>
        <rFont val="Arial"/>
        <family val="2"/>
      </rPr>
      <t>j</t>
    </r>
    <r>
      <rPr>
        <sz val="9"/>
        <color theme="1"/>
        <rFont val="Arial"/>
        <family val="2"/>
      </rPr>
      <t xml:space="preserve"> Due to confidentiality, ABS state level export data restrictions have been applied and national export figures are quoted in addition to state exports</t>
    </r>
  </si>
  <si>
    <t>Area Harvested</t>
  </si>
  <si>
    <t>tonnes/ha (Cane)</t>
  </si>
  <si>
    <t>000 tonnes (Cane)</t>
  </si>
  <si>
    <t>Sugar Produced</t>
  </si>
  <si>
    <t>000 tonnes IPS</t>
  </si>
  <si>
    <t>GVP (Total excl. Wine Grapes)</t>
  </si>
  <si>
    <t>GVP (Fruit, Nut &amp; Table Grapes)</t>
  </si>
  <si>
    <t>GVP (Vegetables)</t>
  </si>
  <si>
    <t>GVP (Nurseries, Cut Flowers, Turf)</t>
  </si>
  <si>
    <t>Production (Oranges)</t>
  </si>
  <si>
    <t>Production (Almonds)</t>
  </si>
  <si>
    <t>Production (Melons)</t>
  </si>
  <si>
    <t>Production (Mushrooms)</t>
  </si>
  <si>
    <t>Production (Potatoes)</t>
  </si>
  <si>
    <r>
      <t>Consumer Price Index (Fruit)</t>
    </r>
    <r>
      <rPr>
        <vertAlign val="superscript"/>
        <sz val="9"/>
        <color theme="1"/>
        <rFont val="Arial"/>
        <family val="2"/>
      </rPr>
      <t>U</t>
    </r>
  </si>
  <si>
    <t>CPI (Sydney)</t>
  </si>
  <si>
    <r>
      <t>Consumer Price Index (Vegetables)</t>
    </r>
    <r>
      <rPr>
        <vertAlign val="superscript"/>
        <sz val="9"/>
        <color theme="1"/>
        <rFont val="Arial"/>
        <family val="2"/>
      </rPr>
      <t>U</t>
    </r>
  </si>
  <si>
    <r>
      <rPr>
        <vertAlign val="superscript"/>
        <sz val="9"/>
        <color theme="1"/>
        <rFont val="Arial"/>
        <family val="2"/>
      </rPr>
      <t>p</t>
    </r>
    <r>
      <rPr>
        <sz val="9"/>
        <color theme="1"/>
        <rFont val="Arial"/>
        <family val="2"/>
      </rPr>
      <t xml:space="preserve"> Some values excluded due to lack of data availability</t>
    </r>
  </si>
  <si>
    <r>
      <rPr>
        <vertAlign val="superscript"/>
        <sz val="9"/>
        <color theme="1"/>
        <rFont val="Arial"/>
        <family val="2"/>
      </rPr>
      <t>u</t>
    </r>
    <r>
      <rPr>
        <sz val="9"/>
        <color theme="1"/>
        <rFont val="Arial"/>
        <family val="2"/>
      </rPr>
      <t xml:space="preserve"> Average over 4 quarters Sydney CPI data</t>
    </r>
  </si>
  <si>
    <t>Wine Grapes</t>
  </si>
  <si>
    <t>Grape Crush</t>
  </si>
  <si>
    <t>Price (NSW Unit Value)</t>
  </si>
  <si>
    <t>Export Value (Wine)</t>
  </si>
  <si>
    <r>
      <rPr>
        <vertAlign val="superscript"/>
        <sz val="9"/>
        <color theme="1"/>
        <rFont val="Arial"/>
        <family val="2"/>
      </rPr>
      <t xml:space="preserve">w </t>
    </r>
    <r>
      <rPr>
        <sz val="9"/>
        <color theme="1"/>
        <rFont val="Arial"/>
        <family val="2"/>
      </rPr>
      <t>Data is wine grape crush data sourced from WA (2023a), which is separate to production data provided by the ABS</t>
    </r>
  </si>
  <si>
    <t>5 Year Average</t>
  </si>
  <si>
    <t>Cattle On Feed (NSW, average level)</t>
  </si>
  <si>
    <t>000 head</t>
  </si>
  <si>
    <t>NSW Beef Cattle Herd Contribution</t>
  </si>
  <si>
    <t>% of National</t>
  </si>
  <si>
    <t>Production (NSW Slaughter)</t>
  </si>
  <si>
    <t>ABS (2023d)</t>
  </si>
  <si>
    <t>Australian Bureau of Statistics (2021). 7215.0 Livestock Products, Australia. Last accessed September 2023.</t>
  </si>
  <si>
    <t>Production (NSW Head Adult &amp; Calves)</t>
  </si>
  <si>
    <t>000 Head</t>
  </si>
  <si>
    <t>Average Carcass Weight (Adult cattle)</t>
  </si>
  <si>
    <t>kg/head</t>
  </si>
  <si>
    <t>Price (EYCI)</t>
  </si>
  <si>
    <t>Ac/kg (cwt)</t>
  </si>
  <si>
    <t>Price (NSW Saleyard Processor Cow)</t>
  </si>
  <si>
    <t>Price (NSW Saleyard Heavy Steer)</t>
  </si>
  <si>
    <t>e DPI estimate only, subject to revision</t>
  </si>
  <si>
    <t>n Negative values denote a net import trade flow</t>
  </si>
  <si>
    <t>Lamb and Sheep Meat</t>
  </si>
  <si>
    <t>GVP (Lamb, Sheep)</t>
  </si>
  <si>
    <t>Sheep Flock (NSW Total)</t>
  </si>
  <si>
    <t>million head</t>
  </si>
  <si>
    <t>Non Merino Ewe Flock (NSW 1 Year Or Greater)</t>
  </si>
  <si>
    <t>Total Ewes</t>
  </si>
  <si>
    <t>Production (Lamb Slaughter)</t>
  </si>
  <si>
    <t>Production (Mutton Slaughter)</t>
  </si>
  <si>
    <t>Goat meat</t>
  </si>
  <si>
    <r>
      <t>GVP (Goat)</t>
    </r>
    <r>
      <rPr>
        <vertAlign val="superscript"/>
        <sz val="9"/>
        <color theme="1"/>
        <rFont val="Arial"/>
        <family val="2"/>
      </rPr>
      <t>c</t>
    </r>
  </si>
  <si>
    <r>
      <t>Production (Goat Slaughter)</t>
    </r>
    <r>
      <rPr>
        <vertAlign val="superscript"/>
        <sz val="9"/>
        <color theme="1"/>
        <rFont val="Arial"/>
        <family val="2"/>
      </rPr>
      <t>f</t>
    </r>
  </si>
  <si>
    <t>tonnes</t>
  </si>
  <si>
    <t>Price (Eastern States OTH Goat Indicator, 16-20kg)</t>
  </si>
  <si>
    <t>Pig Herd (NSW Total)</t>
  </si>
  <si>
    <t>Production (Slaughter)</t>
  </si>
  <si>
    <t>Price (Gross Unit Value)</t>
  </si>
  <si>
    <t>Ac/kg</t>
  </si>
  <si>
    <t>Meat Poultry Flock (NSW)</t>
  </si>
  <si>
    <t>Production (Chicken Meat)</t>
  </si>
  <si>
    <t>Merino Ewe Flock (NSW 1 Year Or Greater)</t>
  </si>
  <si>
    <t>Bales Tested</t>
  </si>
  <si>
    <t>NSW Production</t>
  </si>
  <si>
    <t>000 tonnes (greasy)</t>
  </si>
  <si>
    <t>Price (EMI)</t>
  </si>
  <si>
    <t>c/kg (clean)</t>
  </si>
  <si>
    <t>Layers &amp; Pullets Flock (NSW)</t>
  </si>
  <si>
    <t>Production (NSW Eggs)</t>
  </si>
  <si>
    <t>million dozen</t>
  </si>
  <si>
    <t>NSW Egg Production Contribution</t>
  </si>
  <si>
    <t>Price (National)</t>
  </si>
  <si>
    <t>Ac/dozen</t>
  </si>
  <si>
    <r>
      <t>Consumer Price Index (Eggs)</t>
    </r>
    <r>
      <rPr>
        <vertAlign val="superscript"/>
        <sz val="9"/>
        <color theme="1"/>
        <rFont val="Arial"/>
        <family val="2"/>
      </rPr>
      <t>U</t>
    </r>
  </si>
  <si>
    <t>Dairy Herd Total (NSW)</t>
  </si>
  <si>
    <t>Cows in Milk &amp; Dry (NSW)</t>
  </si>
  <si>
    <t>Production (wholemilk)</t>
  </si>
  <si>
    <t>million litres</t>
  </si>
  <si>
    <r>
      <t>Price (NSW milk)</t>
    </r>
    <r>
      <rPr>
        <vertAlign val="superscript"/>
        <sz val="9"/>
        <color theme="1"/>
        <rFont val="Arial"/>
        <family val="2"/>
      </rPr>
      <t>d</t>
    </r>
  </si>
  <si>
    <t>Ac/litre</t>
  </si>
  <si>
    <t>Price (NSW milk solids)</t>
  </si>
  <si>
    <t>$/kg</t>
  </si>
  <si>
    <r>
      <t>GVP (Total)</t>
    </r>
    <r>
      <rPr>
        <vertAlign val="superscript"/>
        <sz val="9"/>
        <color theme="1"/>
        <rFont val="Arial"/>
        <family val="2"/>
      </rPr>
      <t>t</t>
    </r>
  </si>
  <si>
    <t>Australian Bureau of Agricultural and Resource Economics and Sciences (2025). Australian Forest and Wood Product Statistics September – December 2024. Last accessed October 2025.</t>
  </si>
  <si>
    <r>
      <t>GVP (Softwood)</t>
    </r>
    <r>
      <rPr>
        <vertAlign val="superscript"/>
        <sz val="9"/>
        <color theme="1"/>
        <rFont val="Arial"/>
        <family val="2"/>
      </rPr>
      <t>t</t>
    </r>
  </si>
  <si>
    <r>
      <t>GVP (Hardwood)</t>
    </r>
    <r>
      <rPr>
        <vertAlign val="superscript"/>
        <sz val="9"/>
        <color theme="1"/>
        <rFont val="Arial"/>
        <family val="2"/>
      </rPr>
      <t>t</t>
    </r>
  </si>
  <si>
    <t>Plantation Areas (Softwood)</t>
  </si>
  <si>
    <t>Australian Bureau of Agricultural and Resource Economics and Sciences (2025). Australian Forest and Wood Product Statistics September – December 2024. Last accessed August 2025.</t>
  </si>
  <si>
    <t>Plantation Areas (Hardwood)</t>
  </si>
  <si>
    <t>Production (Softwood)</t>
  </si>
  <si>
    <r>
      <t>000 m</t>
    </r>
    <r>
      <rPr>
        <vertAlign val="superscript"/>
        <sz val="9"/>
        <color theme="1"/>
        <rFont val="Arial"/>
        <family val="2"/>
      </rPr>
      <t>3</t>
    </r>
  </si>
  <si>
    <t>Production (Hardwood)</t>
  </si>
  <si>
    <r>
      <t>Implied Price (Softwood)</t>
    </r>
    <r>
      <rPr>
        <vertAlign val="superscript"/>
        <sz val="9"/>
        <color theme="1"/>
        <rFont val="Arial"/>
        <family val="2"/>
      </rPr>
      <t>r</t>
    </r>
  </si>
  <si>
    <r>
      <t>$/m</t>
    </r>
    <r>
      <rPr>
        <vertAlign val="superscript"/>
        <sz val="9"/>
        <color theme="1"/>
        <rFont val="Arial"/>
        <family val="2"/>
      </rPr>
      <t>3</t>
    </r>
  </si>
  <si>
    <r>
      <t>Implied Price (Hardwood)</t>
    </r>
    <r>
      <rPr>
        <vertAlign val="superscript"/>
        <sz val="9"/>
        <color theme="1"/>
        <rFont val="Arial"/>
        <family val="2"/>
      </rPr>
      <t>r</t>
    </r>
  </si>
  <si>
    <r>
      <rPr>
        <vertAlign val="superscript"/>
        <sz val="9"/>
        <color theme="1"/>
        <rFont val="Arial"/>
        <family val="2"/>
      </rPr>
      <t>r</t>
    </r>
    <r>
      <rPr>
        <sz val="9"/>
        <color theme="1"/>
        <rFont val="Arial"/>
        <family val="2"/>
      </rPr>
      <t xml:space="preserve"> Implied price basis ABARES (2023c) GVP &amp; production data</t>
    </r>
  </si>
  <si>
    <r>
      <rPr>
        <vertAlign val="superscript"/>
        <sz val="9"/>
        <color theme="1"/>
        <rFont val="Arial"/>
        <family val="2"/>
      </rPr>
      <t xml:space="preserve">t </t>
    </r>
    <r>
      <rPr>
        <sz val="9"/>
        <color theme="1"/>
        <rFont val="Arial"/>
        <family val="2"/>
      </rPr>
      <t>GVP is sourced sperately to Agriculture GVP and EVAO threshold differs</t>
    </r>
  </si>
  <si>
    <t>See Below</t>
  </si>
  <si>
    <r>
      <t>GVP (Aquaculture)</t>
    </r>
    <r>
      <rPr>
        <vertAlign val="superscript"/>
        <sz val="9"/>
        <color theme="1"/>
        <rFont val="Arial"/>
        <family val="2"/>
      </rPr>
      <t>t</t>
    </r>
  </si>
  <si>
    <t>DPI (2025d)</t>
  </si>
  <si>
    <t>NSW Department of Primary Industries (2024). Aquaculture Production Report 2023-24. Last accessed October 2025. &lt;https://www.dpi.nsw.gov.au/fishing/aquaculture/publications/aquaculture-production-reports&gt;</t>
  </si>
  <si>
    <r>
      <t>GVP (Commercial Fisheries)</t>
    </r>
    <r>
      <rPr>
        <vertAlign val="superscript"/>
        <sz val="9"/>
        <color theme="1"/>
        <rFont val="Arial"/>
        <family val="2"/>
      </rPr>
      <t>t</t>
    </r>
  </si>
  <si>
    <t>Production (Sydney &amp; Pacific Rock Oysters)</t>
  </si>
  <si>
    <t>million dozens</t>
  </si>
  <si>
    <t>Production (Aquaculture)</t>
  </si>
  <si>
    <t>Production (Wild Caught Harvest)</t>
  </si>
  <si>
    <r>
      <t>Consumer Price Index (Fish &amp; Other Seafood)</t>
    </r>
    <r>
      <rPr>
        <vertAlign val="superscript"/>
        <sz val="9"/>
        <color theme="1"/>
        <rFont val="Arial"/>
        <family val="2"/>
      </rPr>
      <t>U</t>
    </r>
  </si>
  <si>
    <r>
      <t>Industry Output</t>
    </r>
    <r>
      <rPr>
        <b/>
        <i/>
        <vertAlign val="superscript"/>
        <sz val="9"/>
        <color theme="1"/>
        <rFont val="Arial"/>
        <family val="2"/>
      </rPr>
      <t>o</t>
    </r>
  </si>
  <si>
    <t>2020-21</t>
  </si>
  <si>
    <r>
      <t>2021-22</t>
    </r>
    <r>
      <rPr>
        <b/>
        <i/>
        <vertAlign val="superscript"/>
        <sz val="9"/>
        <color theme="1"/>
        <rFont val="Arial"/>
        <family val="2"/>
      </rPr>
      <t>e</t>
    </r>
  </si>
  <si>
    <r>
      <t>2022-23</t>
    </r>
    <r>
      <rPr>
        <b/>
        <i/>
        <vertAlign val="superscript"/>
        <sz val="9"/>
        <color theme="1"/>
        <rFont val="Arial"/>
        <family val="2"/>
      </rPr>
      <t>e</t>
    </r>
  </si>
  <si>
    <r>
      <t>2023-24</t>
    </r>
    <r>
      <rPr>
        <b/>
        <i/>
        <vertAlign val="superscript"/>
        <sz val="9"/>
        <color theme="1"/>
        <rFont val="Arial"/>
        <family val="2"/>
      </rPr>
      <t>e</t>
    </r>
  </si>
  <si>
    <r>
      <t>2024-25</t>
    </r>
    <r>
      <rPr>
        <b/>
        <i/>
        <vertAlign val="superscript"/>
        <sz val="9"/>
        <color theme="1"/>
        <rFont val="Arial"/>
        <family val="2"/>
      </rPr>
      <t>e</t>
    </r>
  </si>
  <si>
    <t>Broadacre Cropping Sub-total</t>
  </si>
  <si>
    <t>Other Coarse Grains</t>
  </si>
  <si>
    <t>Sugar Cane</t>
  </si>
  <si>
    <r>
      <t>Other Crops</t>
    </r>
    <r>
      <rPr>
        <i/>
        <vertAlign val="superscript"/>
        <sz val="9"/>
        <color theme="1"/>
        <rFont val="Arial"/>
        <family val="2"/>
      </rPr>
      <t>b</t>
    </r>
  </si>
  <si>
    <t>Horticulture &amp; Viticulture Sub-total</t>
  </si>
  <si>
    <t>Fruit, Nuts, Table Grapes</t>
  </si>
  <si>
    <t>Vegetables</t>
  </si>
  <si>
    <t>Nurseries, Cut Flowers, Turf</t>
  </si>
  <si>
    <t>Livestock &amp; Livestock Products Sub-total</t>
  </si>
  <si>
    <t>Beef Cattle</t>
  </si>
  <si>
    <t>Lamb &amp; Mutton</t>
  </si>
  <si>
    <r>
      <t>Goat (excl. Rangeland Goats)</t>
    </r>
    <r>
      <rPr>
        <i/>
        <vertAlign val="superscript"/>
        <sz val="9"/>
        <color theme="1"/>
        <rFont val="Arial"/>
        <family val="2"/>
      </rPr>
      <t>c</t>
    </r>
  </si>
  <si>
    <t>Honey &amp; Beeswax</t>
  </si>
  <si>
    <r>
      <t>Forestry &amp; Fisheries Sub-total</t>
    </r>
    <r>
      <rPr>
        <b/>
        <vertAlign val="superscript"/>
        <sz val="9"/>
        <color theme="1"/>
        <rFont val="Arial"/>
        <family val="2"/>
      </rPr>
      <t>t</t>
    </r>
  </si>
  <si>
    <r>
      <t>Softwood</t>
    </r>
    <r>
      <rPr>
        <i/>
        <vertAlign val="superscript"/>
        <sz val="9"/>
        <color theme="1"/>
        <rFont val="Arial"/>
        <family val="2"/>
      </rPr>
      <t>t</t>
    </r>
  </si>
  <si>
    <r>
      <t>Hardwood</t>
    </r>
    <r>
      <rPr>
        <i/>
        <vertAlign val="superscript"/>
        <sz val="9"/>
        <color theme="1"/>
        <rFont val="Arial"/>
        <family val="2"/>
      </rPr>
      <t>t</t>
    </r>
  </si>
  <si>
    <r>
      <t>Aquaculture</t>
    </r>
    <r>
      <rPr>
        <i/>
        <vertAlign val="superscript"/>
        <sz val="9"/>
        <color theme="1"/>
        <rFont val="Arial"/>
        <family val="2"/>
      </rPr>
      <t>t</t>
    </r>
  </si>
  <si>
    <r>
      <t>Wild Caught</t>
    </r>
    <r>
      <rPr>
        <i/>
        <vertAlign val="superscript"/>
        <sz val="9"/>
        <color theme="1"/>
        <rFont val="Arial"/>
        <family val="2"/>
      </rPr>
      <t>t</t>
    </r>
  </si>
  <si>
    <t>TOTAL GVP</t>
  </si>
  <si>
    <t>Footnotes</t>
  </si>
  <si>
    <r>
      <rPr>
        <vertAlign val="superscript"/>
        <sz val="9"/>
        <color theme="1"/>
        <rFont val="Arial"/>
        <family val="2"/>
      </rPr>
      <t>a</t>
    </r>
    <r>
      <rPr>
        <sz val="9"/>
        <color theme="1"/>
        <rFont val="Arial"/>
        <family val="2"/>
      </rPr>
      <t xml:space="preserve"> GVP data is based on the ABS new threshold of $40k with the exception of forestry &amp; fisheries which are sourced elswhere</t>
    </r>
  </si>
  <si>
    <r>
      <rPr>
        <vertAlign val="superscript"/>
        <sz val="9"/>
        <color theme="1"/>
        <rFont val="Arial"/>
        <family val="2"/>
      </rPr>
      <t xml:space="preserve">b </t>
    </r>
    <r>
      <rPr>
        <sz val="9"/>
        <color theme="1"/>
        <rFont val="Arial"/>
        <family val="2"/>
      </rPr>
      <t>Includes other broadacre crops, hay &amp; silage</t>
    </r>
  </si>
  <si>
    <r>
      <rPr>
        <vertAlign val="superscript"/>
        <sz val="9"/>
        <color theme="1"/>
        <rFont val="Arial"/>
        <family val="2"/>
      </rPr>
      <t xml:space="preserve">c </t>
    </r>
    <r>
      <rPr>
        <sz val="9"/>
        <color theme="1"/>
        <rFont val="Arial"/>
        <family val="2"/>
      </rPr>
      <t>Goat meat not defined explicitly for each year, but assumed from historic data. ABS intermittently indicates this does not include Rangeland ("Feral") Goats.</t>
    </r>
  </si>
  <si>
    <r>
      <rPr>
        <vertAlign val="superscript"/>
        <sz val="9"/>
        <color theme="1"/>
        <rFont val="Arial"/>
        <family val="2"/>
      </rPr>
      <t>o</t>
    </r>
    <r>
      <rPr>
        <sz val="9"/>
        <color theme="1"/>
        <rFont val="Arial"/>
        <family val="2"/>
      </rPr>
      <t xml:space="preserve"> From 2010-11 onwards, GVP is based on the ABS new EVAO threshold of greater than $40k, prior to this values are based on EVAO of greater than $5k</t>
    </r>
  </si>
  <si>
    <t>Industry Production Volumes</t>
  </si>
  <si>
    <t xml:space="preserve">Broadacre Cropping </t>
  </si>
  <si>
    <t xml:space="preserve">Horticulture &amp; Viticulture </t>
  </si>
  <si>
    <t>Fruit (Oranges, Mandarins)</t>
  </si>
  <si>
    <t>Nuts (Macadamias, Almonds</t>
  </si>
  <si>
    <t>Vegetables (Melons)</t>
  </si>
  <si>
    <t>Vegetables (Mushrooms)</t>
  </si>
  <si>
    <t>Vegetables (Potatoes)</t>
  </si>
  <si>
    <r>
      <t>Wine Grapes</t>
    </r>
    <r>
      <rPr>
        <i/>
        <vertAlign val="superscript"/>
        <sz val="9"/>
        <color theme="1"/>
        <rFont val="Arial"/>
        <family val="2"/>
      </rPr>
      <t>w</t>
    </r>
  </si>
  <si>
    <t xml:space="preserve">Livestock &amp; Livestock Products </t>
  </si>
  <si>
    <r>
      <t>Goat (all goats)</t>
    </r>
    <r>
      <rPr>
        <i/>
        <vertAlign val="superscript"/>
        <sz val="9"/>
        <color theme="1"/>
        <rFont val="Arial"/>
        <family val="2"/>
      </rPr>
      <t>f</t>
    </r>
  </si>
  <si>
    <r>
      <t>Milk</t>
    </r>
    <r>
      <rPr>
        <i/>
        <vertAlign val="superscript"/>
        <sz val="9"/>
        <color theme="1"/>
        <rFont val="Arial"/>
        <family val="2"/>
      </rPr>
      <t>q</t>
    </r>
  </si>
  <si>
    <t xml:space="preserve">Forestry &amp; Fisheries </t>
  </si>
  <si>
    <t>Softwood</t>
  </si>
  <si>
    <t>000 m3</t>
  </si>
  <si>
    <t>Hardwood</t>
  </si>
  <si>
    <r>
      <t>Aquaculture (Oysters)</t>
    </r>
    <r>
      <rPr>
        <i/>
        <vertAlign val="superscript"/>
        <sz val="9"/>
        <color theme="1"/>
        <rFont val="Arial"/>
        <family val="2"/>
      </rPr>
      <t>g</t>
    </r>
  </si>
  <si>
    <t>Aquaculture (Total)</t>
  </si>
  <si>
    <t>Wild Caught</t>
  </si>
  <si>
    <r>
      <rPr>
        <vertAlign val="superscript"/>
        <sz val="9"/>
        <color theme="1"/>
        <rFont val="Arial"/>
        <family val="2"/>
      </rPr>
      <t xml:space="preserve">k </t>
    </r>
    <r>
      <rPr>
        <sz val="9"/>
        <color theme="1"/>
        <rFont val="Arial"/>
        <family val="2"/>
      </rPr>
      <t>Includes Maize, Oats &amp; Triticale. Hay &amp; silage is excluded from this data</t>
    </r>
  </si>
  <si>
    <r>
      <rPr>
        <vertAlign val="superscript"/>
        <sz val="9"/>
        <color theme="1"/>
        <rFont val="Arial"/>
        <family val="2"/>
      </rPr>
      <t xml:space="preserve">f </t>
    </r>
    <r>
      <rPr>
        <sz val="9"/>
        <color theme="1"/>
        <rFont val="Arial"/>
        <family val="2"/>
      </rPr>
      <t>Goat production data sourced from a seperate source to GVP data. Production data includes rangeland &amp; managed goats</t>
    </r>
  </si>
  <si>
    <r>
      <rPr>
        <vertAlign val="superscript"/>
        <sz val="9"/>
        <color theme="1"/>
        <rFont val="Arial"/>
        <family val="2"/>
      </rPr>
      <t xml:space="preserve">g </t>
    </r>
    <r>
      <rPr>
        <sz val="9"/>
        <color theme="1"/>
        <rFont val="Arial"/>
        <family val="2"/>
      </rPr>
      <t>Sydney &amp; Pacific Rock Oysters only</t>
    </r>
  </si>
  <si>
    <r>
      <rPr>
        <vertAlign val="superscript"/>
        <sz val="9"/>
        <color theme="1"/>
        <rFont val="Arial"/>
        <family val="2"/>
      </rPr>
      <t xml:space="preserve">s </t>
    </r>
    <r>
      <rPr>
        <sz val="9"/>
        <color theme="1"/>
        <rFont val="Arial"/>
        <family val="2"/>
      </rPr>
      <t>subject to revision</t>
    </r>
  </si>
  <si>
    <r>
      <rPr>
        <vertAlign val="superscript"/>
        <sz val="9"/>
        <color theme="1"/>
        <rFont val="Arial"/>
        <family val="2"/>
      </rPr>
      <t xml:space="preserve">q </t>
    </r>
    <r>
      <rPr>
        <sz val="9"/>
        <color theme="1"/>
        <rFont val="Arial"/>
        <family val="2"/>
      </rPr>
      <t>Data for 2017-18 onward is sourced from Dairy Australia.</t>
    </r>
  </si>
  <si>
    <t>Industry Production Areas (Cropping &amp; Forestry)</t>
  </si>
  <si>
    <r>
      <t>Other Crops</t>
    </r>
    <r>
      <rPr>
        <i/>
        <vertAlign val="superscript"/>
        <sz val="9"/>
        <color theme="1"/>
        <rFont val="Arial"/>
        <family val="2"/>
      </rPr>
      <t>k</t>
    </r>
  </si>
  <si>
    <t>Industry Livestock Numbers (Livestock)</t>
  </si>
  <si>
    <t>Lamb &amp; Mutton Total</t>
  </si>
  <si>
    <t>Non Merino Ewes - 1 Year or Greater</t>
  </si>
  <si>
    <t>Merino Ewes - 1 Year or Greater</t>
  </si>
  <si>
    <t>Pigs</t>
  </si>
  <si>
    <t>Meat Poultry</t>
  </si>
  <si>
    <t>Layers &amp; Pullets</t>
  </si>
  <si>
    <t>Dairy Herd Total</t>
  </si>
  <si>
    <t>Cows in Milk &amp; Dry</t>
  </si>
  <si>
    <t>Industry Prices</t>
  </si>
  <si>
    <t>Broadacre Cropping</t>
  </si>
  <si>
    <t>Pulses (Chickpeas)</t>
  </si>
  <si>
    <t>Oilseeds (Canola)</t>
  </si>
  <si>
    <t>$/tonne (Cane)</t>
  </si>
  <si>
    <t>Horticulture &amp; Viticulture</t>
  </si>
  <si>
    <t>Fruit (Consumer Price Index)</t>
  </si>
  <si>
    <t>CPI</t>
  </si>
  <si>
    <t>Vegetables (Consumer Price Index)</t>
  </si>
  <si>
    <t>Beef Cattle (EYCI)</t>
  </si>
  <si>
    <t>Ac/kg cwt</t>
  </si>
  <si>
    <t>Beef Cattle (NSW Saleyard Medium Cow)</t>
  </si>
  <si>
    <t>Beef Cattle (NSW Saleyard Trade Steer)</t>
  </si>
  <si>
    <t>Lamb (ESTLI)</t>
  </si>
  <si>
    <t>Mutton (Eastern States Mutton Indicator)</t>
  </si>
  <si>
    <t>Goat (NSW Average OTH Goat Indicators)</t>
  </si>
  <si>
    <t>Wool (EMI)</t>
  </si>
  <si>
    <t>Ac/kg clean</t>
  </si>
  <si>
    <t>Eggs (Consumer Price Index)</t>
  </si>
  <si>
    <t>Milk (NSW Farm Gate)</t>
  </si>
  <si>
    <t>Forestry &amp; Fisheries</t>
  </si>
  <si>
    <r>
      <t>Softwood (Implied)</t>
    </r>
    <r>
      <rPr>
        <i/>
        <vertAlign val="superscript"/>
        <sz val="9"/>
        <color theme="1"/>
        <rFont val="Arial"/>
        <family val="2"/>
      </rPr>
      <t>r</t>
    </r>
  </si>
  <si>
    <t>$/m3</t>
  </si>
  <si>
    <r>
      <t>Hardwood (Implied)</t>
    </r>
    <r>
      <rPr>
        <i/>
        <vertAlign val="superscript"/>
        <sz val="9"/>
        <color theme="1"/>
        <rFont val="Arial"/>
        <family val="2"/>
      </rPr>
      <t>r</t>
    </r>
  </si>
  <si>
    <t>Fish &amp; Other Seafood (Consumer Price Index)</t>
  </si>
  <si>
    <t>Industry Exports - Total &amp; Top 3 Destinations</t>
  </si>
  <si>
    <r>
      <t>Barley</t>
    </r>
    <r>
      <rPr>
        <i/>
        <vertAlign val="superscript"/>
        <sz val="9"/>
        <color theme="1"/>
        <rFont val="Arial"/>
        <family val="2"/>
      </rPr>
      <t>j</t>
    </r>
  </si>
  <si>
    <r>
      <t>Cotton Lint</t>
    </r>
    <r>
      <rPr>
        <i/>
        <vertAlign val="superscript"/>
        <sz val="9"/>
        <color theme="1"/>
        <rFont val="Arial"/>
        <family val="2"/>
      </rPr>
      <t>j</t>
    </r>
  </si>
  <si>
    <r>
      <t>Horticulture Sub-total</t>
    </r>
    <r>
      <rPr>
        <b/>
        <vertAlign val="superscript"/>
        <sz val="9"/>
        <color theme="1"/>
        <rFont val="Arial"/>
        <family val="2"/>
      </rPr>
      <t>h</t>
    </r>
  </si>
  <si>
    <r>
      <t>Wine Grape</t>
    </r>
    <r>
      <rPr>
        <i/>
        <vertAlign val="superscript"/>
        <sz val="9"/>
        <color theme="1"/>
        <rFont val="Arial"/>
        <family val="2"/>
      </rPr>
      <t>h</t>
    </r>
  </si>
  <si>
    <t>Goat</t>
  </si>
  <si>
    <t>Forestry &amp; Fisheries Sub-total</t>
  </si>
  <si>
    <r>
      <t>Other Commodities Sub-total</t>
    </r>
    <r>
      <rPr>
        <b/>
        <vertAlign val="superscript"/>
        <sz val="9"/>
        <color theme="1"/>
        <rFont val="Arial"/>
        <family val="2"/>
      </rPr>
      <t>i</t>
    </r>
  </si>
  <si>
    <t>TOTAL EXPORTS</t>
  </si>
  <si>
    <r>
      <rPr>
        <vertAlign val="superscript"/>
        <sz val="9"/>
        <color theme="1"/>
        <rFont val="Arial"/>
        <family val="2"/>
      </rPr>
      <t xml:space="preserve">h </t>
    </r>
    <r>
      <rPr>
        <sz val="9"/>
        <color theme="1"/>
        <rFont val="Arial"/>
        <family val="2"/>
      </rPr>
      <t>Wine is excluded from the total, due to classification wine becomes a processed product post farm gate and therefore excluded</t>
    </r>
  </si>
  <si>
    <r>
      <rPr>
        <vertAlign val="superscript"/>
        <sz val="9"/>
        <color theme="1"/>
        <rFont val="Arial"/>
        <family val="2"/>
      </rPr>
      <t xml:space="preserve">i </t>
    </r>
    <r>
      <rPr>
        <sz val="9"/>
        <color theme="1"/>
        <rFont val="Arial"/>
        <family val="2"/>
      </rPr>
      <t>Includes but not exclusive to other cereals, other broadacre crops, hay &amp; silage, animal products n.e.d</t>
    </r>
  </si>
  <si>
    <t xml:space="preserve">Industry Imports - Total </t>
  </si>
  <si>
    <r>
      <t>Wine Grapes</t>
    </r>
    <r>
      <rPr>
        <i/>
        <vertAlign val="superscript"/>
        <sz val="9"/>
        <color theme="1"/>
        <rFont val="Arial"/>
        <family val="2"/>
      </rPr>
      <t>h</t>
    </r>
  </si>
  <si>
    <t>TOTAL IMPORTS</t>
  </si>
  <si>
    <r>
      <rPr>
        <vertAlign val="superscript"/>
        <sz val="9"/>
        <color theme="1"/>
        <rFont val="Arial"/>
        <family val="2"/>
      </rPr>
      <t>j</t>
    </r>
    <r>
      <rPr>
        <sz val="9"/>
        <color theme="1"/>
        <rFont val="Arial"/>
        <family val="2"/>
      </rPr>
      <t xml:space="preserve"> Due to confidentiality, ABS export data restrictions have been applied and values are under-reported as a result</t>
    </r>
  </si>
  <si>
    <t xml:space="preserve">Industry Trade Balance - Total </t>
  </si>
  <si>
    <t>TOTAL TRADE BALANCE</t>
  </si>
  <si>
    <t>Jobs &amp; Businesses Aggregated</t>
  </si>
  <si>
    <t>ANZSIC Code</t>
  </si>
  <si>
    <r>
      <t>Directly employed</t>
    </r>
    <r>
      <rPr>
        <b/>
        <i/>
        <vertAlign val="superscript"/>
        <sz val="9"/>
        <color theme="1"/>
        <rFont val="Arial"/>
        <family val="2"/>
      </rPr>
      <t>l</t>
    </r>
  </si>
  <si>
    <r>
      <t>Manufacturing Employment</t>
    </r>
    <r>
      <rPr>
        <b/>
        <i/>
        <vertAlign val="superscript"/>
        <sz val="9"/>
        <color theme="1"/>
        <rFont val="Arial"/>
        <family val="2"/>
      </rPr>
      <t>l</t>
    </r>
  </si>
  <si>
    <r>
      <t>Direct Businesses</t>
    </r>
    <r>
      <rPr>
        <b/>
        <i/>
        <vertAlign val="superscript"/>
        <sz val="9"/>
        <color theme="1"/>
        <rFont val="Arial"/>
        <family val="2"/>
      </rPr>
      <t>m</t>
    </r>
  </si>
  <si>
    <r>
      <t>Manufacturing Businesses</t>
    </r>
    <r>
      <rPr>
        <b/>
        <i/>
        <vertAlign val="superscript"/>
        <sz val="9"/>
        <color theme="1"/>
        <rFont val="Arial"/>
        <family val="2"/>
      </rPr>
      <t>m</t>
    </r>
  </si>
  <si>
    <t>2024-25</t>
  </si>
  <si>
    <t>As at 30 June 2024</t>
  </si>
  <si>
    <t>Agriculture</t>
  </si>
  <si>
    <t>No.</t>
  </si>
  <si>
    <t>Support Services</t>
  </si>
  <si>
    <t>Total</t>
  </si>
  <si>
    <t>Sources</t>
  </si>
  <si>
    <t>ABS (2022g)</t>
  </si>
  <si>
    <t>ABS (2022e)</t>
  </si>
  <si>
    <t>Australian Bureau of Statistics (2025). 6291.0 Labour force, Australia - Detailed Quarterly, Sep 2025. Last accessed September 2025.</t>
  </si>
  <si>
    <t>Jobs &amp; Businesses By Industry Group</t>
  </si>
  <si>
    <t>Agriculture, Forestry and Fishing Sub-total</t>
  </si>
  <si>
    <t>A00 Agriculture, Forestry and Fishing nfd</t>
  </si>
  <si>
    <t>Agriculture Sub-total</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</si>
  <si>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</si>
  <si>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</si>
  <si>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</si>
  <si>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</si>
  <si>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</si>
  <si>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</si>
  <si>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</si>
  <si>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</si>
  <si>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</si>
  <si>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</si>
  <si>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Aquaculture Sub-total</t>
  </si>
  <si>
    <t>020 Aquaculture</t>
  </si>
  <si>
    <t>Forestry and Logging Sub-total</t>
  </si>
  <si>
    <t>030 Forestry and Logging</t>
  </si>
  <si>
    <t>Fishing, Hunting and Trapping Sub-total</t>
  </si>
  <si>
    <t>040 Fishing, Hunting and Trapping nfd</t>
  </si>
  <si>
    <t>041 Fishing</t>
  </si>
  <si>
    <t>042 Hunting and Trapping</t>
  </si>
  <si>
    <t>Agriculture, Forestry and Fishing Support Services Sub-total</t>
  </si>
  <si>
    <t>050 Agriculture, Forestry and Fishing Support Services nfd</t>
  </si>
  <si>
    <t>051 Forestry Support Services</t>
  </si>
  <si>
    <t>052 Agriculture and Fishing Support Services</t>
  </si>
  <si>
    <t>Food Product Manufacturing Sub-total</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</si>
  <si>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</si>
  <si>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</si>
  <si>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</si>
  <si>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</si>
  <si>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</si>
  <si>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</si>
  <si>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</si>
  <si>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</si>
  <si>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</si>
  <si>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</si>
  <si>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Wood Product Manufacturing Sub-total</t>
  </si>
  <si>
    <t>141 Log Sawmilling and Timber Dressing</t>
  </si>
  <si>
    <t>149 Other Wood Product Manufacturing</t>
  </si>
  <si>
    <t>Pulp, Paper and Converted Paper Product Manufacturing Sub-total</t>
  </si>
  <si>
    <t>150 Pulp, Paper and Converted Paper Product Manufacturing nfd</t>
  </si>
  <si>
    <t>151 Pulp, Paper and Paperboard Manufacturing</t>
  </si>
  <si>
    <t>152 Converted Paper Product Manufacturing</t>
  </si>
  <si>
    <r>
      <rPr>
        <vertAlign val="superscript"/>
        <sz val="9"/>
        <color theme="1"/>
        <rFont val="Arial"/>
        <family val="2"/>
      </rPr>
      <t xml:space="preserve">b </t>
    </r>
    <r>
      <rPr>
        <sz val="9"/>
        <color theme="1"/>
        <rFont val="Arial"/>
        <family val="2"/>
      </rPr>
      <t>Includes other cereals, other broadacre crops, hay &amp; silage</t>
    </r>
  </si>
  <si>
    <r>
      <rPr>
        <i/>
        <vertAlign val="superscript"/>
        <sz val="9"/>
        <color theme="1"/>
        <rFont val="Arial"/>
        <family val="2"/>
      </rPr>
      <t xml:space="preserve">z </t>
    </r>
    <r>
      <rPr>
        <sz val="9"/>
        <color theme="1"/>
        <rFont val="Arial"/>
        <family val="2"/>
      </rPr>
      <t>Hunting, Recreational &amp; Charter fishing output value is an estimate of participant expenditure on these activities</t>
    </r>
  </si>
  <si>
    <t>ABARES (2025c)</t>
  </si>
  <si>
    <t>ABS (2025)</t>
  </si>
  <si>
    <t>Australian Bureau of Statistics (2025). Australian Agriculture: Broadacre Crops, 2023-24. Last accessed October 2025. 
&lt;https://www.abs.gov.au/statistics/industry/agriculture/australian-agriculture-broadacre-crops/2023-24&gt;</t>
  </si>
  <si>
    <t>Australian Bureau of Agricultural and Resource Economics and Sciences (2025). Australian Crop Report, September 2025. Last accessed October 2025.</t>
  </si>
  <si>
    <t>ABARES (2025a)</t>
  </si>
  <si>
    <t>Australian Bureau of Agricultural and Resource Economics and Sciences (2025). Agricultural Commodities, September 2025. Last accessed October 2025.</t>
  </si>
  <si>
    <t>ABARES (2025b)</t>
  </si>
  <si>
    <t>Price (Corn)</t>
  </si>
  <si>
    <t>T304A2330T315:T318</t>
  </si>
  <si>
    <t>Australian Bureau of Agricultural and Resource Economics (2025). Australian Fisheries and Aquaculture Statistics 2024. Last Accessed October 2024. https://www.agriculture.gov.au/abares/research-topics/fisheries/fisheries-and-aquaculture-statistics</t>
  </si>
  <si>
    <t>Australian Bureau of Statistics (2025). 6401.0 Consumer Price Index, Australia, June 2025. Last accessed October 2025.</t>
  </si>
  <si>
    <t>ABARES (2025f)</t>
  </si>
  <si>
    <t>ABS (2025b)</t>
  </si>
  <si>
    <t>Australian Bureau of Agricultural and Resource Economics (2025). Australian Fisheries and Aquaculture Statistics 2024. Last Accessed October 2025. https://www.agriculture.gov.au/abares/research-topics/fisheries/fisheries-and-aquaculture-statistics</t>
  </si>
  <si>
    <t>N315N314NN311:N314</t>
  </si>
  <si>
    <t>DA (2025a)</t>
  </si>
  <si>
    <r>
      <t xml:space="preserve">Dairy Australia (2025), </t>
    </r>
    <r>
      <rPr>
        <i/>
        <sz val="9"/>
        <rFont val="Arial"/>
        <family val="2"/>
      </rPr>
      <t>NSW Milk Production Report July 2025,</t>
    </r>
    <r>
      <rPr>
        <sz val="9"/>
        <rFont val="Arial"/>
        <family val="2"/>
      </rPr>
      <t xml:space="preserve"> last accessed November 2025.</t>
    </r>
  </si>
  <si>
    <r>
      <rPr>
        <vertAlign val="superscript"/>
        <sz val="9"/>
        <color theme="1"/>
        <rFont val="Arial"/>
        <family val="2"/>
      </rPr>
      <t>j</t>
    </r>
    <r>
      <rPr>
        <sz val="9"/>
        <color theme="1"/>
        <rFont val="Arial"/>
        <family val="2"/>
      </rPr>
      <t xml:space="preserve"> Due to confidentiality, ABS state level export data restrictions have been applied in previous years. DPI estimates are based on share of production.</t>
    </r>
  </si>
  <si>
    <t>ASM (2025)</t>
  </si>
  <si>
    <t>Australian Sugar Manufacturers (2025). Industry Stats and Snapshot 2024. Last accessed October 2025.</t>
  </si>
  <si>
    <r>
      <rPr>
        <vertAlign val="superscript"/>
        <sz val="9"/>
        <color theme="1"/>
        <rFont val="Arial"/>
        <family val="2"/>
      </rPr>
      <t>r</t>
    </r>
    <r>
      <rPr>
        <sz val="9"/>
        <color theme="1"/>
        <rFont val="Arial"/>
        <family val="2"/>
      </rPr>
      <t xml:space="preserve"> Implied price basis ABARES (2025c) GVP &amp; production data</t>
    </r>
  </si>
  <si>
    <r>
      <rPr>
        <vertAlign val="superscript"/>
        <sz val="9"/>
        <color theme="1"/>
        <rFont val="Arial"/>
        <family val="2"/>
      </rPr>
      <t xml:space="preserve">d </t>
    </r>
    <r>
      <rPr>
        <sz val="9"/>
        <color theme="1"/>
        <rFont val="Arial"/>
        <family val="2"/>
      </rPr>
      <t>Not used.</t>
    </r>
  </si>
  <si>
    <r>
      <rPr>
        <vertAlign val="superscript"/>
        <sz val="9"/>
        <color theme="1"/>
        <rFont val="Arial"/>
        <family val="2"/>
      </rPr>
      <t xml:space="preserve">w </t>
    </r>
    <r>
      <rPr>
        <sz val="9"/>
        <color theme="1"/>
        <rFont val="Arial"/>
        <family val="2"/>
      </rPr>
      <t>Data is wine grape crush data sourced from WA (2025a), which is separate to production data provided by the ABS</t>
    </r>
  </si>
  <si>
    <t>WA (2025)</t>
  </si>
  <si>
    <t xml:space="preserve">Wine Australia (2025). National Vintage Report, 2025. Last accessed October 2025. </t>
  </si>
  <si>
    <r>
      <rPr>
        <vertAlign val="superscript"/>
        <sz val="9"/>
        <color theme="1"/>
        <rFont val="Arial"/>
        <family val="2"/>
      </rPr>
      <t xml:space="preserve">w </t>
    </r>
    <r>
      <rPr>
        <sz val="9"/>
        <color theme="1"/>
        <rFont val="Arial"/>
        <family val="2"/>
      </rPr>
      <t>Data is wine grape crush data sourced from WA (2025), which is separate to production data provided by the ABS</t>
    </r>
  </si>
  <si>
    <t>ABS (2025d)</t>
  </si>
  <si>
    <t>Australian Bureau of Statistics (2025). 7215.0 Livestock Products, Australia. Last accessed September 2025.</t>
  </si>
  <si>
    <t>Australian Bureau of Statistics (2025). Australian Agriculture, Horticulture, 2023-24. Last accessed October 2025.</t>
  </si>
  <si>
    <t>Price (NTLI)</t>
  </si>
  <si>
    <t>Price (National Mutton Indicator)</t>
  </si>
  <si>
    <t>NSW Share of National Dairy Herd</t>
  </si>
  <si>
    <t>Australian Bureau of Statistics (2025), Counts of Australian Businesses, including Entries and Exits. Last accessed September 2025 &lt;http://www.abs.gov.au/ausstats/abs@.nsf/mf/8165.0&gt;.</t>
  </si>
  <si>
    <t>Australian Bureau of Statistics (2025g), Counts of Australian Businesses, including Entries and Exits. Last accessed September 2025 &lt;https://www.abs.gov.au/statistics/economy/business-indicators/counts-australian-businesses-including-entries-and-exits/jul2020-jun2024&gt;.</t>
  </si>
  <si>
    <t>Australian Bureau of Statistics (2025f). 6291.0 Labour force, Australia - Detailed Quarterly, Sep 2025. Last accessed September 2025.</t>
  </si>
  <si>
    <r>
      <rPr>
        <vertAlign val="superscript"/>
        <sz val="9"/>
        <color theme="1"/>
        <rFont val="Arial"/>
        <family val="2"/>
      </rPr>
      <t>m</t>
    </r>
    <r>
      <rPr>
        <sz val="9"/>
        <color theme="1"/>
        <rFont val="Arial"/>
        <family val="2"/>
      </rPr>
      <t xml:space="preserve"> DPI estimate using the same ANZSIC classifications in footnote l. Data is based on June 2024 using source ABS (2025g)</t>
    </r>
  </si>
  <si>
    <t>ABS (2025g)</t>
  </si>
  <si>
    <t>ABS (2025f)</t>
  </si>
  <si>
    <r>
      <rPr>
        <vertAlign val="superscript"/>
        <sz val="9"/>
        <color theme="1"/>
        <rFont val="Arial"/>
        <family val="2"/>
      </rPr>
      <t xml:space="preserve">l </t>
    </r>
    <r>
      <rPr>
        <sz val="9"/>
        <color theme="1"/>
        <rFont val="Arial"/>
        <family val="2"/>
      </rPr>
      <t>DPI estimate calculated as average total employment over four quarters to May 2025 of labour force employment data by relevant to each industry. Relevant ANZSIC divisions are Agriculture, Forestry and Fishing (division A) and relevant sub divisions of Manufacturing (division C). Data was sourced from ABS (2025f)</t>
    </r>
  </si>
  <si>
    <t>Total Cattle Herd (NSW)</t>
  </si>
  <si>
    <t>Beef Cattle Herd (NSW)</t>
  </si>
  <si>
    <t>C218CC215:C218</t>
  </si>
  <si>
    <t>Australian Wool Innovation Limited (2025). Australian Wool Production Forecasting Committee Report. Last Accessed November 2025.</t>
  </si>
  <si>
    <t>AWTA (2025)</t>
  </si>
  <si>
    <t>Australian Wool Testing Authority (2025). AWTA Analytics. Key Test Data. Last Viewed October 2025.</t>
  </si>
  <si>
    <t>000 bales</t>
  </si>
  <si>
    <t>AWI (2025a)</t>
  </si>
  <si>
    <t>Australian Wool Innovation Limited (2025). Australian Wool Innovation Annual Report. Last accessed November 2025.</t>
  </si>
  <si>
    <t>AWI (2025b)</t>
  </si>
  <si>
    <t>Australian Bureau of Statistics (2025). Australian Agriculture: Livestock. https://www.abs.gov.au/statistics/industry/agriculture/australian-agriculture-livestock/2023-24</t>
  </si>
  <si>
    <t>ABS (2025e)</t>
  </si>
  <si>
    <t>MLA (2025c)</t>
  </si>
  <si>
    <t>Meat &amp; Livestock Australia (2025). Australian NLRS Livestock Indicators. https://www.mla.com.au/prices-markets/statistics/nlrs-indicators/.</t>
  </si>
  <si>
    <t>MLA (2025j)</t>
  </si>
  <si>
    <t>MLA (2025) MLA Statistics Feedlot data</t>
  </si>
  <si>
    <t>MLA (2025f)</t>
  </si>
  <si>
    <t>Meat &amp; Livestock Australia (2025). Australian Production &amp; Slaughter. https://www.mla.com.au/prices-markets/statistics/aus-production-slaughter</t>
  </si>
  <si>
    <t>ABS (2023g)</t>
  </si>
  <si>
    <t>Australian Bureau of Statistics (2023). 7121.0 Agricultural Commodities, Australia 2021-22. Last accessed October 2023. https://www.abs.gov.au/statistics/industry/agriculture/agricultural-commodities-australia/latest-release</t>
  </si>
  <si>
    <r>
      <t xml:space="preserve">Dairy Australia (2025), </t>
    </r>
    <r>
      <rPr>
        <i/>
        <sz val="9"/>
        <rFont val="Arial"/>
        <family val="2"/>
      </rPr>
      <t>Australian Dairy Industry In Focus 2024</t>
    </r>
    <r>
      <rPr>
        <sz val="9"/>
        <rFont val="Arial"/>
        <family val="2"/>
      </rPr>
      <t>, last accessed October 2025, &lt;https://www.dairyaustralia.com.au/industry-reports/australian-dairy-industry-in-focus&gt;</t>
    </r>
  </si>
  <si>
    <t>DA (2025b)</t>
  </si>
  <si>
    <t>Vietnam</t>
  </si>
  <si>
    <t>Indonesia</t>
  </si>
  <si>
    <t>China</t>
  </si>
  <si>
    <t>Saudi Arabia</t>
  </si>
  <si>
    <t>Japan</t>
  </si>
  <si>
    <t>World</t>
  </si>
  <si>
    <t>Argentina</t>
  </si>
  <si>
    <t>Kenya</t>
  </si>
  <si>
    <t>India</t>
  </si>
  <si>
    <t>Bangladesh</t>
  </si>
  <si>
    <t>Pakistan</t>
  </si>
  <si>
    <t>Belgium</t>
  </si>
  <si>
    <t>Germany</t>
  </si>
  <si>
    <t>New Zealand</t>
  </si>
  <si>
    <t>Singapore</t>
  </si>
  <si>
    <t>Philippines</t>
  </si>
  <si>
    <t>Hong Kong</t>
  </si>
  <si>
    <t>United States</t>
  </si>
  <si>
    <t>United Kingdom</t>
  </si>
  <si>
    <t>Canada</t>
  </si>
  <si>
    <t>Korea, South</t>
  </si>
  <si>
    <t>Trinidad &amp; Tobago</t>
  </si>
  <si>
    <t>Vanuatu</t>
  </si>
  <si>
    <t>Papua New Guinea</t>
  </si>
  <si>
    <t>Italy</t>
  </si>
  <si>
    <t>Unidentified Countries</t>
  </si>
  <si>
    <t>New Caledonia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</si>
</sst>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_-* #,##0_-;\-* #,##0_-;_-* &quot;-&quot;??_-;_-@_-"/>
    <numFmt numFmtId="165" formatCode="&quot;$&quot;#,##0.0;[Red]\-&quot;$&quot;#,##0.0"/>
    <numFmt numFmtId="166" formatCode="#,##0.0"/>
    <numFmt numFmtId="167" formatCode="0.0%"/>
    <numFmt numFmtId="168" formatCode="_-* #,##0.0_-;\-* #,##0.0_-;_-* &quot;-&quot;??_-;_-@_-"/>
    <numFmt numFmtId="169" formatCode="&quot;$&quot;#,##0.0"/>
    <numFmt numFmtId="170" formatCode="0.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i/>
      <sz val="9"/>
      <color theme="1"/>
      <name val="Arial"/>
      <family val="2"/>
    </font>
    <font>
      <b/>
      <i/>
      <vertAlign val="superscript"/>
      <sz val="9"/>
      <color theme="1"/>
      <name val="Arial"/>
      <family val="2"/>
    </font>
    <font>
      <i/>
      <sz val="9"/>
      <color theme="1"/>
      <name val="Arial"/>
      <family val="2"/>
    </font>
    <font>
      <b/>
      <sz val="9"/>
      <color theme="1"/>
      <name val="Arial"/>
      <family val="2"/>
    </font>
    <font>
      <sz val="9"/>
      <color theme="1"/>
      <name val="Arial"/>
      <family val="2"/>
    </font>
    <font>
      <vertAlign val="superscript"/>
      <sz val="9"/>
      <color theme="1"/>
      <name val="Arial"/>
      <family val="2"/>
    </font>
    <font>
      <b/>
      <sz val="9"/>
      <name val="Arial"/>
      <family val="2"/>
    </font>
    <font>
      <i/>
      <sz val="9"/>
      <name val="Arial"/>
      <family val="2"/>
    </font>
    <font>
      <i/>
      <vertAlign val="superscript"/>
      <sz val="9"/>
      <color theme="1"/>
      <name val="Arial"/>
      <family val="2"/>
    </font>
    <font>
      <b/>
      <vertAlign val="superscript"/>
      <sz val="9"/>
      <color theme="1"/>
      <name val="Arial"/>
      <family val="2"/>
    </font>
    <font>
      <b/>
      <i/>
      <sz val="9"/>
      <name val="Arial"/>
      <family val="2"/>
    </font>
    <font>
      <b/>
      <sz val="9"/>
      <color rgb="FFFF0000"/>
      <name val="Arial"/>
      <family val="2"/>
    </font>
    <font>
      <sz val="9"/>
      <name val="Arial"/>
      <family val="2"/>
    </font>
    <font>
      <b/>
      <sz val="11"/>
      <color theme="0"/>
      <name val="Arial"/>
      <family val="2"/>
    </font>
    <font>
      <b/>
      <sz val="9"/>
      <color theme="0"/>
      <name val="Arial"/>
      <family val="2"/>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rgb="FFD9E1F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right style="thin">
        <color indexed="64"/>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1" xfId="0" applyFont="1" applyBorder="1"/>
    <xf numFmtId="0" fontId="4" fillId="0" borderId="1" xfId="0" applyFont="1" applyBorder="1"/>
    <xf numFmtId="49" fontId="4" fillId="0" borderId="1" xfId="0" applyNumberFormat="1" applyFont="1" applyBorder="1" applyAlignment="1">
      <alignment horizontal="left"/>
    </xf>
    <xf numFmtId="0" fontId="5" fillId="0" borderId="1" xfId="3" applyFont="1" applyBorder="1"/>
    <xf numFmtId="0" fontId="6" fillId="0" borderId="2" xfId="0" applyFont="1" applyBorder="1"/>
    <xf numFmtId="0" fontId="8" fillId="0" borderId="2" xfId="0" applyFont="1" applyBorder="1"/>
    <xf numFmtId="3" fontId="8" fillId="0" borderId="2" xfId="1" applyNumberFormat="1" applyFont="1" applyBorder="1"/>
    <xf numFmtId="164" fontId="8" fillId="0" borderId="2" xfId="1" applyNumberFormat="1" applyFont="1" applyBorder="1"/>
    <xf numFmtId="0" fontId="9" fillId="0" borderId="2" xfId="0" applyFont="1" applyBorder="1"/>
    <xf numFmtId="164" fontId="9" fillId="0" borderId="2" xfId="1" applyNumberFormat="1" applyFont="1" applyBorder="1"/>
    <xf numFmtId="0" fontId="10" fillId="0" borderId="2" xfId="0" applyFont="1" applyBorder="1"/>
    <xf numFmtId="0" fontId="10" fillId="0" borderId="10" xfId="0" applyFont="1" applyBorder="1"/>
    <xf numFmtId="0" fontId="10" fillId="0" borderId="0" xfId="0" applyFont="1"/>
    <xf numFmtId="164" fontId="10" fillId="0" borderId="0" xfId="0" applyNumberFormat="1" applyFont="1"/>
    <xf numFmtId="0" fontId="9" fillId="0" borderId="2" xfId="0" applyFont="1" applyBorder="1" applyAlignment="1">
      <alignment horizontal="left"/>
    </xf>
    <xf numFmtId="164" fontId="9" fillId="0" borderId="2" xfId="1" applyNumberFormat="1" applyFont="1" applyBorder="1" applyAlignment="1">
      <alignment horizontal="left" indent="3"/>
    </xf>
    <xf numFmtId="0" fontId="8" fillId="0" borderId="2" xfId="0" applyFont="1" applyBorder="1" applyAlignment="1">
      <alignment horizontal="left" indent="3"/>
    </xf>
    <xf numFmtId="0" fontId="9" fillId="0" borderId="2" xfId="0" applyFont="1" applyBorder="1" applyAlignment="1">
      <alignment horizontal="left" indent="1"/>
    </xf>
    <xf numFmtId="0" fontId="6" fillId="0" borderId="2" xfId="0" applyFont="1" applyBorder="1" applyAlignment="1">
      <alignment horizontal="right" wrapText="1"/>
    </xf>
    <xf numFmtId="164" fontId="9" fillId="0" borderId="2" xfId="0" applyNumberFormat="1" applyFont="1" applyBorder="1"/>
    <xf numFmtId="9" fontId="12" fillId="0" borderId="2" xfId="2" applyFont="1" applyBorder="1" applyAlignment="1">
      <alignment horizontal="right"/>
    </xf>
    <xf numFmtId="0" fontId="8" fillId="0" borderId="2" xfId="0" applyFont="1" applyBorder="1" applyAlignment="1">
      <alignment horizontal="left" indent="1"/>
    </xf>
    <xf numFmtId="9" fontId="13" fillId="0" borderId="2" xfId="2" applyFont="1" applyBorder="1" applyAlignment="1">
      <alignment horizontal="right"/>
    </xf>
    <xf numFmtId="3" fontId="13" fillId="0" borderId="2" xfId="2" applyNumberFormat="1" applyFont="1" applyBorder="1" applyAlignment="1">
      <alignment horizontal="right"/>
    </xf>
    <xf numFmtId="164" fontId="10" fillId="0" borderId="2" xfId="1" applyNumberFormat="1" applyFont="1" applyBorder="1"/>
    <xf numFmtId="0" fontId="16" fillId="0" borderId="0" xfId="0" applyFont="1"/>
    <xf numFmtId="0" fontId="8" fillId="0" borderId="0" xfId="0" applyFont="1"/>
    <xf numFmtId="0" fontId="8" fillId="0" borderId="0" xfId="0" applyFont="1" applyAlignment="1">
      <alignment horizontal="right"/>
    </xf>
    <xf numFmtId="0" fontId="10" fillId="0" borderId="0" xfId="0" applyFont="1" applyAlignment="1">
      <alignment horizontal="right"/>
    </xf>
    <xf numFmtId="165" fontId="9" fillId="0" borderId="2" xfId="0" applyNumberFormat="1" applyFont="1" applyBorder="1"/>
    <xf numFmtId="165" fontId="12" fillId="0" borderId="2" xfId="2" applyNumberFormat="1" applyFont="1" applyBorder="1" applyAlignment="1">
      <alignment horizontal="right"/>
    </xf>
    <xf numFmtId="165" fontId="8" fillId="0" borderId="2" xfId="1" applyNumberFormat="1" applyFont="1" applyBorder="1"/>
    <xf numFmtId="165" fontId="9" fillId="0" borderId="2" xfId="1" applyNumberFormat="1" applyFont="1" applyBorder="1"/>
    <xf numFmtId="165" fontId="12" fillId="0" borderId="2" xfId="1" applyNumberFormat="1" applyFont="1" applyBorder="1"/>
    <xf numFmtId="165" fontId="12" fillId="0" borderId="2" xfId="0" applyNumberFormat="1" applyFont="1" applyBorder="1"/>
    <xf numFmtId="165" fontId="13" fillId="0" borderId="2" xfId="2" applyNumberFormat="1" applyFont="1" applyBorder="1" applyAlignment="1">
      <alignment horizontal="right"/>
    </xf>
    <xf numFmtId="0" fontId="8" fillId="0" borderId="2" xfId="0" applyFont="1" applyBorder="1" applyAlignment="1">
      <alignment horizontal="right" indent="1"/>
    </xf>
    <xf numFmtId="168" fontId="8" fillId="0" borderId="2" xfId="1" applyNumberFormat="1" applyFont="1" applyBorder="1"/>
    <xf numFmtId="6" fontId="8" fillId="0" borderId="2" xfId="0" applyNumberFormat="1" applyFont="1" applyBorder="1" applyAlignment="1">
      <alignment horizontal="right" indent="1"/>
    </xf>
    <xf numFmtId="0" fontId="6" fillId="0" borderId="2" xfId="0" applyFont="1" applyBorder="1" applyAlignment="1">
      <alignment wrapText="1"/>
    </xf>
    <xf numFmtId="164" fontId="17" fillId="0" borderId="2" xfId="0" applyNumberFormat="1" applyFont="1" applyBorder="1"/>
    <xf numFmtId="9" fontId="17" fillId="0" borderId="2" xfId="2" applyFont="1" applyBorder="1"/>
    <xf numFmtId="165" fontId="10" fillId="0" borderId="2" xfId="1" applyNumberFormat="1" applyFont="1" applyBorder="1"/>
    <xf numFmtId="9" fontId="18" fillId="0" borderId="2" xfId="2" applyFont="1" applyBorder="1"/>
    <xf numFmtId="165" fontId="18" fillId="0" borderId="2" xfId="2" applyNumberFormat="1" applyFont="1" applyBorder="1"/>
    <xf numFmtId="9" fontId="9" fillId="0" borderId="2" xfId="2" applyFont="1" applyBorder="1"/>
    <xf numFmtId="3" fontId="9" fillId="0" borderId="2" xfId="2" applyNumberFormat="1" applyFont="1" applyBorder="1"/>
    <xf numFmtId="168" fontId="10" fillId="0" borderId="2" xfId="1" applyNumberFormat="1" applyFont="1" applyBorder="1"/>
    <xf numFmtId="9" fontId="10" fillId="0" borderId="2" xfId="2" applyFont="1" applyBorder="1"/>
    <xf numFmtId="168" fontId="10" fillId="0" borderId="2" xfId="2" applyNumberFormat="1" applyFont="1" applyBorder="1"/>
    <xf numFmtId="9" fontId="10" fillId="0" borderId="2" xfId="1" applyNumberFormat="1" applyFont="1" applyBorder="1"/>
    <xf numFmtId="0" fontId="10" fillId="3" borderId="5" xfId="0" applyFont="1" applyFill="1" applyBorder="1" applyAlignment="1">
      <alignment horizontal="left" indent="1"/>
    </xf>
    <xf numFmtId="166" fontId="10" fillId="0" borderId="2" xfId="1" applyNumberFormat="1" applyFont="1" applyBorder="1"/>
    <xf numFmtId="0" fontId="8" fillId="3" borderId="4" xfId="0" applyFont="1" applyFill="1" applyBorder="1"/>
    <xf numFmtId="165" fontId="10" fillId="0" borderId="2" xfId="2" applyNumberFormat="1" applyFont="1" applyBorder="1"/>
    <xf numFmtId="166" fontId="10" fillId="0" borderId="2" xfId="2" applyNumberFormat="1" applyFont="1" applyBorder="1"/>
    <xf numFmtId="164" fontId="17" fillId="0" borderId="2" xfId="0" applyNumberFormat="1" applyFont="1" applyBorder="1" applyAlignment="1">
      <alignment horizontal="right"/>
    </xf>
    <xf numFmtId="9" fontId="17" fillId="0" borderId="2" xfId="2" applyFont="1" applyBorder="1" applyAlignment="1">
      <alignment horizontal="right"/>
    </xf>
    <xf numFmtId="164" fontId="8" fillId="0" borderId="2" xfId="1" applyNumberFormat="1" applyFont="1" applyBorder="1" applyAlignment="1">
      <alignment horizontal="right"/>
    </xf>
    <xf numFmtId="9" fontId="8" fillId="0" borderId="2" xfId="1" applyNumberFormat="1" applyFont="1" applyBorder="1" applyAlignment="1">
      <alignment horizontal="right"/>
    </xf>
    <xf numFmtId="164" fontId="12" fillId="0" borderId="2" xfId="1" applyNumberFormat="1" applyFont="1" applyBorder="1" applyAlignment="1">
      <alignment horizontal="right"/>
    </xf>
    <xf numFmtId="164" fontId="17" fillId="0" borderId="2" xfId="1" applyNumberFormat="1" applyFont="1" applyBorder="1" applyAlignment="1">
      <alignment horizontal="right"/>
    </xf>
    <xf numFmtId="164" fontId="13" fillId="0" borderId="2" xfId="1" applyNumberFormat="1" applyFont="1" applyBorder="1" applyAlignment="1">
      <alignment horizontal="right"/>
    </xf>
    <xf numFmtId="166" fontId="8" fillId="0" borderId="2" xfId="1" applyNumberFormat="1" applyFont="1" applyBorder="1"/>
    <xf numFmtId="164" fontId="13" fillId="0" borderId="2" xfId="1" applyNumberFormat="1" applyFont="1" applyBorder="1"/>
    <xf numFmtId="165" fontId="9" fillId="0" borderId="2" xfId="0" applyNumberFormat="1" applyFont="1" applyBorder="1" applyAlignment="1">
      <alignment horizontal="right"/>
    </xf>
    <xf numFmtId="9" fontId="9" fillId="0" borderId="2" xfId="0" applyNumberFormat="1" applyFont="1" applyBorder="1" applyAlignment="1">
      <alignment horizontal="right"/>
    </xf>
    <xf numFmtId="4" fontId="9" fillId="0" borderId="2" xfId="0" applyNumberFormat="1" applyFont="1" applyBorder="1" applyAlignment="1">
      <alignment horizontal="right"/>
    </xf>
    <xf numFmtId="165" fontId="10"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xf>
    <xf numFmtId="165" fontId="10" fillId="0" borderId="2" xfId="0" applyNumberFormat="1" applyFont="1" applyBorder="1" applyAlignment="1">
      <alignment horizontal="right"/>
    </xf>
    <xf numFmtId="9" fontId="10" fillId="0" borderId="2" xfId="0" applyNumberFormat="1" applyFont="1" applyBorder="1" applyAlignment="1">
      <alignment horizontal="right"/>
    </xf>
    <xf numFmtId="4" fontId="10" fillId="0" borderId="2" xfId="0" applyNumberFormat="1" applyFont="1" applyBorder="1" applyAlignment="1">
      <alignment horizontal="right"/>
    </xf>
    <xf numFmtId="0" fontId="10" fillId="3" borderId="5" xfId="0" applyFont="1" applyFill="1" applyBorder="1"/>
    <xf numFmtId="0" fontId="10" fillId="3" borderId="0" xfId="0" applyFont="1" applyFill="1"/>
    <xf numFmtId="0" fontId="10" fillId="3" borderId="6" xfId="0" applyFont="1" applyFill="1" applyBorder="1"/>
    <xf numFmtId="165" fontId="10" fillId="4" borderId="0" xfId="0" applyNumberFormat="1" applyFont="1" applyFill="1"/>
    <xf numFmtId="9" fontId="18" fillId="4" borderId="0" xfId="2" applyFont="1" applyFill="1" applyAlignment="1">
      <alignment horizontal="right"/>
    </xf>
    <xf numFmtId="0" fontId="10" fillId="4" borderId="0" xfId="0" applyFont="1" applyFill="1"/>
    <xf numFmtId="0" fontId="10" fillId="4" borderId="4" xfId="0" applyFont="1" applyFill="1" applyBorder="1"/>
    <xf numFmtId="0" fontId="10" fillId="3" borderId="6" xfId="0" quotePrefix="1" applyFont="1" applyFill="1" applyBorder="1"/>
    <xf numFmtId="4" fontId="10" fillId="4" borderId="0" xfId="0" applyNumberFormat="1" applyFont="1" applyFill="1"/>
    <xf numFmtId="166" fontId="10" fillId="4" borderId="0" xfId="0" applyNumberFormat="1" applyFont="1" applyFill="1"/>
    <xf numFmtId="0" fontId="10" fillId="3" borderId="0" xfId="0" applyFont="1" applyFill="1" applyAlignment="1">
      <alignment horizontal="left"/>
    </xf>
    <xf numFmtId="0" fontId="10" fillId="3" borderId="7" xfId="0" applyFont="1" applyFill="1" applyBorder="1"/>
    <xf numFmtId="0" fontId="10" fillId="3" borderId="8" xfId="0" applyFont="1" applyFill="1" applyBorder="1" applyAlignment="1">
      <alignment horizontal="left"/>
    </xf>
    <xf numFmtId="0" fontId="10" fillId="3" borderId="9" xfId="0" applyFont="1" applyFill="1" applyBorder="1"/>
    <xf numFmtId="8" fontId="10" fillId="4" borderId="0" xfId="0" applyNumberFormat="1" applyFont="1" applyFill="1"/>
    <xf numFmtId="9" fontId="18" fillId="3" borderId="0" xfId="2" applyFont="1" applyFill="1" applyAlignment="1">
      <alignment horizontal="right"/>
    </xf>
    <xf numFmtId="0" fontId="18" fillId="3" borderId="4" xfId="0" applyFont="1" applyFill="1" applyBorder="1"/>
    <xf numFmtId="0" fontId="10" fillId="3" borderId="4" xfId="0" applyFont="1" applyFill="1" applyBorder="1"/>
    <xf numFmtId="0" fontId="10" fillId="3" borderId="3" xfId="0" applyFont="1" applyFill="1" applyBorder="1"/>
    <xf numFmtId="0" fontId="10" fillId="3" borderId="4" xfId="0" quotePrefix="1" applyFont="1" applyFill="1" applyBorder="1"/>
    <xf numFmtId="0" fontId="18" fillId="4" borderId="4" xfId="0" applyFont="1" applyFill="1" applyBorder="1"/>
    <xf numFmtId="0" fontId="18" fillId="4" borderId="0" xfId="0" applyFont="1" applyFill="1"/>
    <xf numFmtId="9" fontId="10" fillId="4" borderId="0" xfId="0" applyNumberFormat="1" applyFont="1" applyFill="1"/>
    <xf numFmtId="3" fontId="10" fillId="4" borderId="0" xfId="0" applyNumberFormat="1" applyFont="1" applyFill="1"/>
    <xf numFmtId="0" fontId="18" fillId="3" borderId="0" xfId="0" applyFont="1" applyFill="1"/>
    <xf numFmtId="168" fontId="18" fillId="4" borderId="0" xfId="1" applyNumberFormat="1" applyFont="1" applyFill="1" applyAlignment="1">
      <alignment horizontal="right"/>
    </xf>
    <xf numFmtId="6" fontId="10" fillId="4" borderId="0" xfId="0" applyNumberFormat="1" applyFont="1" applyFill="1"/>
    <xf numFmtId="0" fontId="10" fillId="3" borderId="3" xfId="0" applyFont="1" applyFill="1" applyBorder="1" applyAlignment="1">
      <alignment horizontal="left"/>
    </xf>
    <xf numFmtId="165" fontId="10" fillId="3" borderId="0" xfId="0" applyNumberFormat="1" applyFont="1" applyFill="1"/>
    <xf numFmtId="3" fontId="10" fillId="3" borderId="0" xfId="0" applyNumberFormat="1" applyFont="1" applyFill="1"/>
    <xf numFmtId="166" fontId="10" fillId="3" borderId="0" xfId="0" applyNumberFormat="1" applyFont="1" applyFill="1"/>
    <xf numFmtId="6" fontId="10" fillId="3" borderId="0" xfId="0" applyNumberFormat="1" applyFont="1" applyFill="1"/>
    <xf numFmtId="0" fontId="20" fillId="2" borderId="3" xfId="0" applyFont="1" applyFill="1" applyBorder="1"/>
    <xf numFmtId="0" fontId="20" fillId="2" borderId="0" xfId="0" applyFont="1" applyFill="1"/>
    <xf numFmtId="0" fontId="20" fillId="2" borderId="4" xfId="0" applyFont="1" applyFill="1" applyBorder="1"/>
    <xf numFmtId="9" fontId="20" fillId="2" borderId="0" xfId="2" applyFont="1" applyFill="1" applyBorder="1" applyAlignment="1"/>
    <xf numFmtId="0" fontId="19" fillId="2" borderId="0" xfId="0" applyFont="1" applyFill="1"/>
    <xf numFmtId="0" fontId="20" fillId="2" borderId="5" xfId="0" applyFont="1" applyFill="1" applyBorder="1"/>
    <xf numFmtId="0" fontId="20" fillId="2" borderId="6" xfId="0" applyFont="1" applyFill="1" applyBorder="1"/>
    <xf numFmtId="0" fontId="20" fillId="2" borderId="0" xfId="0" applyFont="1" applyFill="1" applyAlignment="1">
      <alignment wrapText="1"/>
    </xf>
    <xf numFmtId="9" fontId="20" fillId="2" borderId="0" xfId="2" applyFont="1" applyFill="1" applyBorder="1" applyAlignment="1">
      <alignment wrapText="1"/>
    </xf>
    <xf numFmtId="0" fontId="6" fillId="0" borderId="0" xfId="0" applyFont="1" applyAlignment="1">
      <alignment horizontal="right"/>
    </xf>
    <xf numFmtId="164" fontId="8" fillId="0" borderId="2" xfId="1" applyNumberFormat="1" applyFont="1" applyBorder="1" applyAlignment="1">
      <alignment horizontal="left"/>
    </xf>
    <xf numFmtId="164" fontId="17" fillId="0" borderId="2" xfId="1" applyNumberFormat="1" applyFont="1" applyBorder="1" applyAlignment="1">
      <alignment horizontal="left"/>
    </xf>
    <xf numFmtId="164" fontId="13" fillId="0" borderId="2" xfId="1" applyNumberFormat="1" applyFont="1" applyBorder="1" applyAlignment="1">
      <alignment horizontal="left"/>
    </xf>
    <xf numFmtId="166" fontId="8" fillId="0" borderId="2" xfId="1" applyNumberFormat="1" applyFont="1" applyBorder="1" applyAlignment="1">
      <alignment horizontal="left"/>
    </xf>
    <xf numFmtId="9" fontId="8" fillId="0" borderId="2" xfId="1" applyNumberFormat="1" applyFont="1" applyBorder="1"/>
    <xf numFmtId="169" fontId="12" fillId="0" borderId="2" xfId="0" applyNumberFormat="1" applyFont="1" applyBorder="1"/>
    <xf numFmtId="169" fontId="12" fillId="0" borderId="2" xfId="2" applyNumberFormat="1" applyFont="1" applyBorder="1" applyAlignment="1">
      <alignment horizontal="right"/>
    </xf>
    <xf numFmtId="169" fontId="13" fillId="0" borderId="2" xfId="1" applyNumberFormat="1" applyFont="1" applyBorder="1"/>
    <xf numFmtId="169" fontId="12" fillId="0" borderId="2" xfId="1" applyNumberFormat="1" applyFont="1" applyBorder="1"/>
    <xf numFmtId="9" fontId="13" fillId="0" borderId="2" xfId="1" applyNumberFormat="1" applyFont="1" applyBorder="1" applyAlignment="1">
      <alignment horizontal="right"/>
    </xf>
    <xf numFmtId="3" fontId="12" fillId="0" borderId="2" xfId="2" applyNumberFormat="1" applyFont="1" applyBorder="1" applyAlignment="1">
      <alignment horizontal="right"/>
    </xf>
    <xf numFmtId="0" fontId="13" fillId="0" borderId="0" xfId="0" applyFont="1" applyAlignment="1">
      <alignment horizontal="right"/>
    </xf>
    <xf numFmtId="0" fontId="18" fillId="0" borderId="0" xfId="0" applyFont="1" applyAlignment="1">
      <alignment horizontal="right"/>
    </xf>
    <xf numFmtId="4" fontId="8" fillId="0" borderId="2" xfId="1" applyNumberFormat="1" applyFont="1" applyBorder="1"/>
    <xf numFmtId="166" fontId="8" fillId="0" borderId="2" xfId="1" applyNumberFormat="1" applyFont="1" applyBorder="1" applyAlignment="1">
      <alignment horizontal="right"/>
    </xf>
    <xf numFmtId="9" fontId="13" fillId="0" borderId="2" xfId="1" applyNumberFormat="1" applyFont="1" applyBorder="1"/>
    <xf numFmtId="0" fontId="6" fillId="0" borderId="2" xfId="0" applyFont="1" applyBorder="1" applyAlignment="1">
      <alignment horizontal="right"/>
    </xf>
    <xf numFmtId="166" fontId="10" fillId="4" borderId="0" xfId="0" applyNumberFormat="1" applyFont="1" applyFill="1" applyAlignment="1">
      <alignment horizontal="right"/>
    </xf>
    <xf numFmtId="9" fontId="3" fillId="0" borderId="1" xfId="2" applyFont="1" applyBorder="1"/>
    <xf numFmtId="43" fontId="10" fillId="4" borderId="0" xfId="0" applyNumberFormat="1" applyFont="1" applyFill="1"/>
    <xf numFmtId="167" fontId="18" fillId="4" borderId="0" xfId="2" applyNumberFormat="1" applyFont="1" applyFill="1" applyAlignment="1">
      <alignment horizontal="right"/>
    </xf>
    <xf numFmtId="170" fontId="10" fillId="4" borderId="0" xfId="0" applyNumberFormat="1" applyFont="1" applyFill="1"/>
    <xf numFmtId="164" fontId="0" fillId="0" borderId="0" xfId="0" applyNumberFormat="1"/>
    <xf numFmtId="8" fontId="0" fillId="0" borderId="0" xfId="0" applyNumberFormat="1"/>
    <xf numFmtId="164" fontId="10" fillId="0" borderId="2" xfId="1" applyNumberFormat="1" applyFont="1" applyBorder="1" applyAlignment="1">
      <alignment wrapText="1"/>
    </xf>
    <xf numFmtId="0" fontId="10" fillId="3" borderId="3" xfId="0" applyFont="1" applyFill="1" applyBorder="1" applyAlignment="1">
      <alignment horizontal="left"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xf>
    <xf numFmtId="9" fontId="12" fillId="0" borderId="2" xfId="2" applyNumberFormat="1" applyFont="1" applyBorder="1" applyAlignment="1">
      <alignment horizontal="right"/>
    </xf>
  </cellXfs>
  <cellStyles count="4">
    <cellStyle name="Comma" xfId="1" builtinId="3"/>
    <cellStyle name="Hyperlink" xfId="3" builtinId="8"/>
    <cellStyle name="Normal" xfId="0" builtinId="0"/>
    <cellStyle name="Percent" xfId="2" builtinId="5"/>
  </cellStyles>
  <dxfs count="3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504-E998-45D8-B435-B2203783E307}">
  <sheetPr codeName="Sheet1"/>
  <dimension ref="A1:B37"/>
  <sheetViews>
    <sheetView tabSelected="1" workbookViewId="0"/>
  </sheetViews>
  <sheetFormatPr defaultRowHeight="14.4" x14ac:dyDescent="0.3"/>
  <cols>
    <col min="1" max="1" width="14.33203125" bestFit="1" customWidth="1"/>
    <col min="2" max="2" width="67.109375" bestFit="1" customWidth="1"/>
  </cols>
  <sheetData>
    <row r="1" spans="1:2" x14ac:dyDescent="0.3">
      <c r="A1" s="135" t="s">
        <v>0</v>
      </c>
      <c r="B1" s="1" t="s">
        <v>1</v>
      </c>
    </row>
    <row r="2" spans="1:2" x14ac:dyDescent="0.3">
      <c r="A2" s="2"/>
      <c r="B2" s="2"/>
    </row>
    <row r="3" spans="1:2" x14ac:dyDescent="0.3">
      <c r="A3" s="2" t="s">
        <v>2</v>
      </c>
      <c r="B3" s="2" t="s">
        <v>3</v>
      </c>
    </row>
    <row r="4" spans="1:2" x14ac:dyDescent="0.3">
      <c r="A4" s="2"/>
      <c r="B4" s="2"/>
    </row>
    <row r="5" spans="1:2" x14ac:dyDescent="0.3">
      <c r="A5" s="2" t="s">
        <v>4</v>
      </c>
      <c r="B5" s="2" t="s">
        <v>5</v>
      </c>
    </row>
    <row r="6" spans="1:2" x14ac:dyDescent="0.3">
      <c r="A6" s="2"/>
      <c r="B6" s="2"/>
    </row>
    <row r="7" spans="1:2" x14ac:dyDescent="0.3">
      <c r="A7" s="2" t="s">
        <v>6</v>
      </c>
      <c r="B7" s="3" t="s">
        <v>7</v>
      </c>
    </row>
    <row r="8" spans="1:2" x14ac:dyDescent="0.3">
      <c r="A8" s="2"/>
      <c r="B8" s="2"/>
    </row>
    <row r="9" spans="1:2" x14ac:dyDescent="0.3">
      <c r="A9" s="2" t="s">
        <v>8</v>
      </c>
      <c r="B9" s="4" t="s">
        <v>9</v>
      </c>
    </row>
    <row r="10" spans="1:2" x14ac:dyDescent="0.3">
      <c r="A10" s="2"/>
      <c r="B10" s="4" t="s">
        <v>10</v>
      </c>
    </row>
    <row r="11" spans="1:2" x14ac:dyDescent="0.3">
      <c r="A11" s="2"/>
      <c r="B11" s="4" t="s">
        <v>11</v>
      </c>
    </row>
    <row r="12" spans="1:2" x14ac:dyDescent="0.3">
      <c r="A12" s="2"/>
      <c r="B12" s="4" t="s">
        <v>12</v>
      </c>
    </row>
    <row r="13" spans="1:2" x14ac:dyDescent="0.3">
      <c r="A13" s="2"/>
      <c r="B13" s="4" t="s">
        <v>13</v>
      </c>
    </row>
    <row r="14" spans="1:2" x14ac:dyDescent="0.3">
      <c r="A14" s="2"/>
      <c r="B14" s="4" t="s">
        <v>14</v>
      </c>
    </row>
    <row r="15" spans="1:2" x14ac:dyDescent="0.3">
      <c r="A15" s="2"/>
      <c r="B15" s="4" t="s">
        <v>15</v>
      </c>
    </row>
    <row r="16" spans="1:2" x14ac:dyDescent="0.3">
      <c r="A16" s="2"/>
      <c r="B16" s="4" t="s">
        <v>16</v>
      </c>
    </row>
    <row r="17" spans="1:2" x14ac:dyDescent="0.3">
      <c r="A17" s="2"/>
      <c r="B17" s="4" t="s">
        <v>17</v>
      </c>
    </row>
    <row r="18" spans="1:2" x14ac:dyDescent="0.3">
      <c r="A18" s="2"/>
      <c r="B18" s="4" t="s">
        <v>18</v>
      </c>
    </row>
    <row r="19" spans="1:2" x14ac:dyDescent="0.3">
      <c r="A19" s="2"/>
      <c r="B19" s="4" t="s">
        <v>19</v>
      </c>
    </row>
    <row r="20" spans="1:2" x14ac:dyDescent="0.3">
      <c r="A20" s="2"/>
      <c r="B20" s="4" t="s">
        <v>20</v>
      </c>
    </row>
    <row r="21" spans="1:2" x14ac:dyDescent="0.3">
      <c r="A21" s="2"/>
      <c r="B21" s="4" t="s">
        <v>21</v>
      </c>
    </row>
    <row r="22" spans="1:2" x14ac:dyDescent="0.3">
      <c r="A22" s="2"/>
      <c r="B22" s="4" t="s">
        <v>22</v>
      </c>
    </row>
    <row r="23" spans="1:2" x14ac:dyDescent="0.3">
      <c r="A23" s="2"/>
      <c r="B23" s="4" t="s">
        <v>23</v>
      </c>
    </row>
    <row r="24" spans="1:2" x14ac:dyDescent="0.3">
      <c r="A24" s="2"/>
      <c r="B24" s="4" t="s">
        <v>24</v>
      </c>
    </row>
    <row r="25" spans="1:2" x14ac:dyDescent="0.3">
      <c r="A25" s="2"/>
      <c r="B25" s="4" t="s">
        <v>25</v>
      </c>
    </row>
    <row r="26" spans="1:2" x14ac:dyDescent="0.3">
      <c r="A26" s="2"/>
      <c r="B26" s="4" t="s">
        <v>26</v>
      </c>
    </row>
    <row r="27" spans="1:2" x14ac:dyDescent="0.3">
      <c r="A27" s="2"/>
      <c r="B27" s="4" t="s">
        <v>27</v>
      </c>
    </row>
    <row r="28" spans="1:2" x14ac:dyDescent="0.3">
      <c r="A28" s="2"/>
      <c r="B28" s="4" t="s">
        <v>28</v>
      </c>
    </row>
    <row r="29" spans="1:2" x14ac:dyDescent="0.3">
      <c r="A29" s="2"/>
      <c r="B29" s="4" t="s">
        <v>29</v>
      </c>
    </row>
    <row r="30" spans="1:2" x14ac:dyDescent="0.3">
      <c r="A30" s="2"/>
      <c r="B30" s="4" t="s">
        <v>30</v>
      </c>
    </row>
    <row r="31" spans="1:2" x14ac:dyDescent="0.3">
      <c r="A31" s="2"/>
      <c r="B31" s="4" t="s">
        <v>31</v>
      </c>
    </row>
    <row r="32" spans="1:2" x14ac:dyDescent="0.3">
      <c r="A32" s="2"/>
      <c r="B32" s="4" t="s">
        <v>32</v>
      </c>
    </row>
    <row r="33" spans="1:2" x14ac:dyDescent="0.3">
      <c r="A33" s="2"/>
      <c r="B33" s="4" t="s">
        <v>33</v>
      </c>
    </row>
    <row r="34" spans="1:2" x14ac:dyDescent="0.3">
      <c r="A34" s="2"/>
      <c r="B34" s="4" t="s">
        <v>34</v>
      </c>
    </row>
    <row r="35" spans="1:2" x14ac:dyDescent="0.3">
      <c r="A35" s="2"/>
      <c r="B35" s="4" t="s">
        <v>35</v>
      </c>
    </row>
    <row r="36" spans="1:2" x14ac:dyDescent="0.3">
      <c r="A36" s="2"/>
    </row>
    <row r="37" spans="1:2" x14ac:dyDescent="0.3">
      <c r="A37" s="2"/>
      <c r="B37" s="4"/>
    </row>
  </sheetData>
  <hyperlinks>
    <hyperlink ref="B9" location="Wheat!A1" display="Wheat" xr:uid="{55EFE7D3-A901-4763-BDC7-AE903B876615}"/>
    <hyperlink ref="B10" location="Barley!A1" display="Barley" xr:uid="{4BA0C2FB-091E-44BE-9CEE-36CCA3F8BEB1}"/>
    <hyperlink ref="B11" location="Rice!A1" display="Rice" xr:uid="{C16F1337-AFE4-49C1-BA01-F75BB3C80BB9}"/>
    <hyperlink ref="B12" location="'Coarse Grains'!A1" display="Coarse Grains" xr:uid="{27D876B7-71DC-4FAB-B075-3C0DDE84DECE}"/>
    <hyperlink ref="B13" location="Pulses!A1" display="Pulses" xr:uid="{1AB23DD4-C230-464B-B8D5-2A34352D0FAC}"/>
    <hyperlink ref="B14" location="Oilseeds!A1" display="Oilseeds" xr:uid="{87AB2481-4F58-484B-BAF1-5289B9069505}"/>
    <hyperlink ref="B15" location="'Cotton Lint'!A1" display="Cotton Lint" xr:uid="{F467AB02-C07D-43D5-BDDF-A5DDE76CED63}"/>
    <hyperlink ref="B16" location="Sugarcane!A1" display="Sugarcane" xr:uid="{93FAE144-9A30-4CE0-928F-F614963EFFA0}"/>
    <hyperlink ref="B17" location="Horticulture!A1" display="Horticulture" xr:uid="{391E5DDE-564A-458F-80B6-DC7817256109}"/>
    <hyperlink ref="B18" location="Wine!A1" display="Wine" xr:uid="{50394C79-B52B-4B70-9797-4B8EF7A111A9}"/>
    <hyperlink ref="B19" location="Beef!A1" display="Beef" xr:uid="{54D0970C-9DA1-41B2-8599-EE1EF569206A}"/>
    <hyperlink ref="B20" location="'Sheep Meat'!A1" display="Sheep &amp; Goat Meat" xr:uid="{C82DCE17-5B82-46A9-B7B0-13FAE90C6DD2}"/>
    <hyperlink ref="B22" location="Pork!A1" display="Pork" xr:uid="{9CD53814-C62C-4BEB-BC82-5BEA648E567C}"/>
    <hyperlink ref="B23" location="Poultry!A1" display="Poultry" xr:uid="{F9455790-8C75-4BC0-9942-12EF03E28B86}"/>
    <hyperlink ref="B24" location="Wool!A1" display="Wool" xr:uid="{2F339095-5100-4D90-86FD-2E0C4AF020FD}"/>
    <hyperlink ref="B25" location="Eggs!A1" display="Eggs" xr:uid="{C34E2963-C2B0-4198-85C6-E54E56C6A085}"/>
    <hyperlink ref="B26" location="Milk!A1" display="Milk" xr:uid="{1A538A03-49A9-4664-8A9F-CB2D8F300F28}"/>
    <hyperlink ref="B27" location="Forestry!A1" display="Forestry" xr:uid="{912CFCD2-8873-42AD-AF20-2779E650738F}"/>
    <hyperlink ref="B28" location="Fisheries!A1" display="Fisheries" xr:uid="{E2E36D52-350E-4602-BE4C-BBCA2C2AC948}"/>
    <hyperlink ref="B29" location="'Gross Value of Production'!A1" display="Gross Value of Production" xr:uid="{5E26E8C3-136C-440E-BF56-02F7753BBEE3}"/>
    <hyperlink ref="B30" location="Production!A1" display="Production Data Consolidated" xr:uid="{93A58AD4-512A-4CE6-A577-623B178D8E78}"/>
    <hyperlink ref="B31" location="Prices!A1" display="Price Data Consolidated" xr:uid="{FC724679-6BFE-4645-8E73-6C78D933949B}"/>
    <hyperlink ref="B32" location="Exports!A1" display="Exports Data Consolidated" xr:uid="{B940D61C-7F87-46A0-8398-A1ECDB5EB3D4}"/>
    <hyperlink ref="B33" location="'Imports &amp; Trade Balance'!A1" display="Imports &amp; Trade Balance Data Consolidated" xr:uid="{D8B5C7EC-E92B-4084-A9E0-FA3BBB65C508}"/>
    <hyperlink ref="B34" location="'Employment &amp; Businesses'!A1" display="Jobs &amp; Businesses Consolidated" xr:uid="{288F1F67-015E-4A5E-97BF-254A16F0D269}"/>
    <hyperlink ref="B35" location="Endnotes!A1" display="Consolidated Footnotes" xr:uid="{50859E7E-DCD1-4EF5-87F4-D1E849613DD7}"/>
    <hyperlink ref="B21" location="'Goat Meat'!A1" display="Goat Meat" xr:uid="{1E3ECBAA-8054-4DE8-9271-F8E6C198E5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92DA-240F-4986-9D62-90851769EAA0}">
  <sheetPr codeName="Sheet10"/>
  <dimension ref="A1:T317"/>
  <sheetViews>
    <sheetView workbookViewId="0"/>
  </sheetViews>
  <sheetFormatPr defaultRowHeight="14.4" x14ac:dyDescent="0.3"/>
  <cols>
    <col min="1" max="1" width="30.44140625" bestFit="1" customWidth="1"/>
    <col min="2" max="2" width="10.5546875" bestFit="1" customWidth="1"/>
    <col min="3" max="3" width="11.44140625" bestFit="1" customWidth="1"/>
  </cols>
  <sheetData>
    <row r="1" spans="1:13" x14ac:dyDescent="0.3">
      <c r="A1" s="111" t="s">
        <v>17</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92</v>
      </c>
      <c r="B3" s="76"/>
      <c r="C3" s="92" t="s">
        <v>45</v>
      </c>
      <c r="D3" s="78">
        <f>+SUM(D4,D5,D6)</f>
        <v>2033.9227488699999</v>
      </c>
      <c r="E3" s="78">
        <f t="shared" ref="E3:H3" si="0">+SUM(E4,E5,E6)</f>
        <v>2510.6387986699997</v>
      </c>
      <c r="F3" s="78">
        <f t="shared" si="0"/>
        <v>3088.3999999999996</v>
      </c>
      <c r="G3" s="78">
        <f t="shared" si="0"/>
        <v>3309.2</v>
      </c>
      <c r="H3" s="78">
        <f t="shared" si="0"/>
        <v>3535.7960749988883</v>
      </c>
      <c r="I3" s="79">
        <f t="shared" ref="I3:I19" si="1">IF(ISBLANK(H3),"N/A",IF(ISNA(H3/G3-1),"N/A",IF(ISERROR(H3/G3-1),"N/A",H3/G3-1)))</f>
        <v>6.8474578447627277E-2</v>
      </c>
      <c r="J3" s="78">
        <f t="shared" ref="J3:J19" si="2">IF(ISBLANK(H3),"",IF(ISNA(AVERAGE(D3:H3)),"N/A",IF(ISERROR(AVERAGE(D3:H3)),"N/A",AVERAGE(D3:H3))))</f>
        <v>2895.5915245077776</v>
      </c>
      <c r="K3" s="79">
        <f t="shared" ref="K3:K19" si="3">IF(ISBLANK(H3),"",IF(ISNA(H3/AVERAGE(D3:H3)-1),"N/A",IF(ISERROR(H3/AVERAGE(D3:H3)-1),"N/A",H3/AVERAGE(D3:H3)-1)))</f>
        <v>0.22109629244060569</v>
      </c>
      <c r="L3" s="80" t="s">
        <v>389</v>
      </c>
      <c r="M3" s="81" t="s">
        <v>391</v>
      </c>
    </row>
    <row r="4" spans="1:13" x14ac:dyDescent="0.3">
      <c r="A4" s="93" t="s">
        <v>93</v>
      </c>
      <c r="B4" s="76"/>
      <c r="C4" s="92" t="s">
        <v>45</v>
      </c>
      <c r="D4" s="78">
        <v>1067.19633077</v>
      </c>
      <c r="E4" s="78">
        <v>1279.9003590299999</v>
      </c>
      <c r="F4" s="78">
        <v>1469.62</v>
      </c>
      <c r="G4" s="78">
        <v>1793.5</v>
      </c>
      <c r="H4" s="78">
        <v>1955.5539242785624</v>
      </c>
      <c r="I4" s="79">
        <f t="shared" si="1"/>
        <v>9.0356244370539462E-2</v>
      </c>
      <c r="J4" s="78">
        <f t="shared" si="2"/>
        <v>1513.1541228157125</v>
      </c>
      <c r="K4" s="79">
        <f t="shared" si="3"/>
        <v>0.29236929324794891</v>
      </c>
      <c r="L4" s="80" t="s">
        <v>389</v>
      </c>
      <c r="M4" s="81" t="s">
        <v>391</v>
      </c>
    </row>
    <row r="5" spans="1:13" x14ac:dyDescent="0.3">
      <c r="A5" s="93" t="s">
        <v>94</v>
      </c>
      <c r="B5" s="76"/>
      <c r="C5" s="92" t="s">
        <v>45</v>
      </c>
      <c r="D5" s="78">
        <v>427.19998650999997</v>
      </c>
      <c r="E5" s="78">
        <v>634.05250588000001</v>
      </c>
      <c r="F5" s="78">
        <v>658.68</v>
      </c>
      <c r="G5" s="78">
        <v>595.5</v>
      </c>
      <c r="H5" s="78">
        <v>614.68694064407487</v>
      </c>
      <c r="I5" s="79">
        <f t="shared" si="1"/>
        <v>3.2219883533291194E-2</v>
      </c>
      <c r="J5" s="78">
        <f t="shared" si="2"/>
        <v>586.02388660681504</v>
      </c>
      <c r="K5" s="79">
        <f t="shared" si="3"/>
        <v>4.8911067777841044E-2</v>
      </c>
      <c r="L5" s="80" t="s">
        <v>389</v>
      </c>
      <c r="M5" s="81" t="s">
        <v>391</v>
      </c>
    </row>
    <row r="6" spans="1:13" x14ac:dyDescent="0.3">
      <c r="A6" s="93" t="s">
        <v>95</v>
      </c>
      <c r="B6" s="76"/>
      <c r="C6" s="92" t="s">
        <v>45</v>
      </c>
      <c r="D6" s="78">
        <v>539.52643159000002</v>
      </c>
      <c r="E6" s="78">
        <v>596.68593376000001</v>
      </c>
      <c r="F6" s="78">
        <v>960.1</v>
      </c>
      <c r="G6" s="78">
        <v>920.2</v>
      </c>
      <c r="H6" s="78">
        <v>965.555210076251</v>
      </c>
      <c r="I6" s="79">
        <f t="shared" si="1"/>
        <v>4.9288426511900685E-2</v>
      </c>
      <c r="J6" s="78">
        <f t="shared" si="2"/>
        <v>796.41351508525031</v>
      </c>
      <c r="K6" s="79">
        <f t="shared" si="3"/>
        <v>0.21237923740268938</v>
      </c>
      <c r="L6" s="80" t="s">
        <v>389</v>
      </c>
      <c r="M6" s="81" t="s">
        <v>391</v>
      </c>
    </row>
    <row r="7" spans="1:13" x14ac:dyDescent="0.3">
      <c r="A7" s="93" t="s">
        <v>96</v>
      </c>
      <c r="B7" s="76"/>
      <c r="C7" s="94" t="s">
        <v>51</v>
      </c>
      <c r="D7" s="84">
        <v>246.322</v>
      </c>
      <c r="E7" s="84">
        <v>263.15800000000002</v>
      </c>
      <c r="F7" s="84">
        <v>315.875</v>
      </c>
      <c r="G7" s="84">
        <v>337.26</v>
      </c>
      <c r="H7" s="84" t="s">
        <v>74</v>
      </c>
      <c r="I7" s="79" t="str">
        <f t="shared" si="1"/>
        <v>N/A</v>
      </c>
      <c r="J7" s="84">
        <f t="shared" si="2"/>
        <v>290.65375</v>
      </c>
      <c r="K7" s="79" t="str">
        <f t="shared" si="3"/>
        <v>N/A</v>
      </c>
      <c r="L7" s="80" t="s">
        <v>389</v>
      </c>
      <c r="M7" s="81" t="s">
        <v>391</v>
      </c>
    </row>
    <row r="8" spans="1:13" x14ac:dyDescent="0.3">
      <c r="A8" s="93" t="s">
        <v>97</v>
      </c>
      <c r="B8" s="76"/>
      <c r="C8" s="94" t="s">
        <v>51</v>
      </c>
      <c r="D8" s="84">
        <v>32.121000000000002</v>
      </c>
      <c r="E8" s="84">
        <v>35.488999999999997</v>
      </c>
      <c r="F8" s="84">
        <v>28.468</v>
      </c>
      <c r="G8" s="84">
        <v>53.837000000000003</v>
      </c>
      <c r="H8" s="84" t="s">
        <v>74</v>
      </c>
      <c r="I8" s="79" t="str">
        <f t="shared" si="1"/>
        <v>N/A</v>
      </c>
      <c r="J8" s="84">
        <f t="shared" si="2"/>
        <v>37.478750000000005</v>
      </c>
      <c r="K8" s="79" t="str">
        <f t="shared" si="3"/>
        <v>N/A</v>
      </c>
      <c r="L8" s="80" t="s">
        <v>389</v>
      </c>
      <c r="M8" s="81" t="s">
        <v>391</v>
      </c>
    </row>
    <row r="9" spans="1:13" x14ac:dyDescent="0.3">
      <c r="A9" s="93" t="s">
        <v>98</v>
      </c>
      <c r="B9" s="76"/>
      <c r="C9" s="94" t="s">
        <v>51</v>
      </c>
      <c r="D9" s="84">
        <v>72.278000000000006</v>
      </c>
      <c r="E9" s="84">
        <v>66.507999999999996</v>
      </c>
      <c r="F9" s="84">
        <v>72.326999999999998</v>
      </c>
      <c r="G9" s="84">
        <v>71.965999999999994</v>
      </c>
      <c r="H9" s="84" t="s">
        <v>74</v>
      </c>
      <c r="I9" s="79" t="str">
        <f t="shared" si="1"/>
        <v>N/A</v>
      </c>
      <c r="J9" s="84">
        <f t="shared" si="2"/>
        <v>70.769750000000002</v>
      </c>
      <c r="K9" s="79" t="str">
        <f t="shared" si="3"/>
        <v>N/A</v>
      </c>
      <c r="L9" s="80" t="s">
        <v>389</v>
      </c>
      <c r="M9" s="81" t="s">
        <v>391</v>
      </c>
    </row>
    <row r="10" spans="1:13" x14ac:dyDescent="0.3">
      <c r="A10" s="93" t="s">
        <v>99</v>
      </c>
      <c r="B10" s="76"/>
      <c r="C10" s="94" t="s">
        <v>51</v>
      </c>
      <c r="D10" s="84">
        <v>21.577000000000002</v>
      </c>
      <c r="E10" s="84">
        <v>20</v>
      </c>
      <c r="F10" s="84">
        <v>16.393999999999998</v>
      </c>
      <c r="G10" s="84">
        <v>15.146000000000001</v>
      </c>
      <c r="H10" s="84" t="s">
        <v>74</v>
      </c>
      <c r="I10" s="79" t="str">
        <f t="shared" si="1"/>
        <v>N/A</v>
      </c>
      <c r="J10" s="84">
        <f t="shared" si="2"/>
        <v>18.279249999999998</v>
      </c>
      <c r="K10" s="79" t="str">
        <f t="shared" si="3"/>
        <v>N/A</v>
      </c>
      <c r="L10" s="80" t="s">
        <v>389</v>
      </c>
      <c r="M10" s="81" t="s">
        <v>391</v>
      </c>
    </row>
    <row r="11" spans="1:13" x14ac:dyDescent="0.3">
      <c r="A11" s="93" t="s">
        <v>100</v>
      </c>
      <c r="B11" s="76"/>
      <c r="C11" s="94" t="s">
        <v>51</v>
      </c>
      <c r="D11" s="84">
        <v>158.458</v>
      </c>
      <c r="E11" s="84">
        <v>158.792</v>
      </c>
      <c r="F11" s="84">
        <v>158.89099999999999</v>
      </c>
      <c r="G11" s="84">
        <v>166.18799999999999</v>
      </c>
      <c r="H11" s="84" t="s">
        <v>74</v>
      </c>
      <c r="I11" s="79" t="str">
        <f t="shared" si="1"/>
        <v>N/A</v>
      </c>
      <c r="J11" s="84">
        <f t="shared" si="2"/>
        <v>160.58224999999999</v>
      </c>
      <c r="K11" s="79" t="str">
        <f t="shared" si="3"/>
        <v>N/A</v>
      </c>
      <c r="L11" s="80" t="s">
        <v>389</v>
      </c>
      <c r="M11" s="81" t="s">
        <v>391</v>
      </c>
    </row>
    <row r="12" spans="1:13" x14ac:dyDescent="0.3">
      <c r="A12" s="93" t="s">
        <v>101</v>
      </c>
      <c r="B12" s="76"/>
      <c r="C12" s="92" t="s">
        <v>102</v>
      </c>
      <c r="D12" s="84">
        <v>111.27500000000001</v>
      </c>
      <c r="E12" s="84">
        <v>108.52499999999999</v>
      </c>
      <c r="F12" s="84">
        <v>120.70000000000002</v>
      </c>
      <c r="G12" s="84">
        <v>119.8</v>
      </c>
      <c r="H12" s="84">
        <v>129.27500000000001</v>
      </c>
      <c r="I12" s="79">
        <f t="shared" si="1"/>
        <v>7.9090150250417546E-2</v>
      </c>
      <c r="J12" s="84">
        <f t="shared" si="2"/>
        <v>117.91500000000001</v>
      </c>
      <c r="K12" s="79">
        <f t="shared" si="3"/>
        <v>9.6340584319212885E-2</v>
      </c>
      <c r="L12" s="80" t="s">
        <v>375</v>
      </c>
      <c r="M12" s="81" t="s">
        <v>373</v>
      </c>
    </row>
    <row r="13" spans="1:13" x14ac:dyDescent="0.3">
      <c r="A13" s="93" t="s">
        <v>103</v>
      </c>
      <c r="B13" s="76"/>
      <c r="C13" s="92" t="s">
        <v>102</v>
      </c>
      <c r="D13" s="84">
        <v>126.77499999999999</v>
      </c>
      <c r="E13" s="84">
        <v>138.57499999999999</v>
      </c>
      <c r="F13" s="84">
        <v>144.47500000000002</v>
      </c>
      <c r="G13" s="84">
        <v>141.625</v>
      </c>
      <c r="H13" s="84">
        <v>149.125</v>
      </c>
      <c r="I13" s="79">
        <f>IF(ISBLANK(H13),"N/A",IF(ISNA(H13/G13-1),"N/A",IF(ISERROR(H13/G13-1),"N/A",H13/G13-1)))</f>
        <v>5.2956751985878237E-2</v>
      </c>
      <c r="J13" s="84">
        <f t="shared" si="2"/>
        <v>140.11500000000001</v>
      </c>
      <c r="K13" s="79">
        <f t="shared" si="3"/>
        <v>6.4304321450237234E-2</v>
      </c>
      <c r="L13" s="80" t="s">
        <v>375</v>
      </c>
      <c r="M13" s="81" t="s">
        <v>373</v>
      </c>
    </row>
    <row r="14" spans="1:13" x14ac:dyDescent="0.3">
      <c r="A14" s="144" t="s">
        <v>56</v>
      </c>
      <c r="B14" s="85" t="s">
        <v>57</v>
      </c>
      <c r="C14" s="92" t="s">
        <v>45</v>
      </c>
      <c r="D14" s="78">
        <v>288.29758299999997</v>
      </c>
      <c r="E14" s="78">
        <v>297.43630100000001</v>
      </c>
      <c r="F14" s="78">
        <v>287.85416900000001</v>
      </c>
      <c r="G14" s="78">
        <v>340.370542</v>
      </c>
      <c r="H14" s="78">
        <v>431.71478400000001</v>
      </c>
      <c r="I14" s="79">
        <f t="shared" si="1"/>
        <v>0.26836706097791518</v>
      </c>
      <c r="J14" s="78">
        <f t="shared" si="2"/>
        <v>329.13467580000002</v>
      </c>
      <c r="K14" s="79">
        <f t="shared" si="3"/>
        <v>0.31166606177446088</v>
      </c>
      <c r="L14" s="76" t="s">
        <v>58</v>
      </c>
      <c r="M14" s="92" t="s">
        <v>59</v>
      </c>
    </row>
    <row r="15" spans="1:13" x14ac:dyDescent="0.3">
      <c r="A15" s="144"/>
      <c r="B15" s="78" t="s">
        <v>426</v>
      </c>
      <c r="C15" s="92" t="s">
        <v>45</v>
      </c>
      <c r="D15" s="78">
        <v>58.749277999999997</v>
      </c>
      <c r="E15" s="78">
        <v>54.332087999999999</v>
      </c>
      <c r="F15" s="78">
        <v>64.160506999999996</v>
      </c>
      <c r="G15" s="78">
        <v>61.719365000000003</v>
      </c>
      <c r="H15" s="78">
        <v>86.065521000000004</v>
      </c>
      <c r="I15" s="79">
        <f t="shared" si="1"/>
        <v>0.39446543236470433</v>
      </c>
      <c r="J15" s="78">
        <f t="shared" si="2"/>
        <v>65.0053518</v>
      </c>
      <c r="K15" s="79">
        <f t="shared" si="3"/>
        <v>0.32397592839425271</v>
      </c>
      <c r="L15" s="76" t="s">
        <v>58</v>
      </c>
      <c r="M15" s="92" t="s">
        <v>59</v>
      </c>
    </row>
    <row r="16" spans="1:13" x14ac:dyDescent="0.3">
      <c r="A16" s="144"/>
      <c r="B16" s="78" t="s">
        <v>428</v>
      </c>
      <c r="C16" s="92" t="s">
        <v>45</v>
      </c>
      <c r="D16" s="78">
        <v>35.594763999999998</v>
      </c>
      <c r="E16" s="78">
        <v>30.898945000000001</v>
      </c>
      <c r="F16" s="78">
        <v>26.387848000000002</v>
      </c>
      <c r="G16" s="78">
        <v>34.528278999999998</v>
      </c>
      <c r="H16" s="78">
        <v>43.736026000000003</v>
      </c>
      <c r="I16" s="79">
        <f t="shared" si="1"/>
        <v>0.26667263086005555</v>
      </c>
      <c r="J16" s="78">
        <f t="shared" si="2"/>
        <v>34.229172399999996</v>
      </c>
      <c r="K16" s="79">
        <f t="shared" si="3"/>
        <v>0.27774126376482333</v>
      </c>
      <c r="L16" s="76" t="s">
        <v>58</v>
      </c>
      <c r="M16" s="92" t="s">
        <v>59</v>
      </c>
    </row>
    <row r="17" spans="1:13" x14ac:dyDescent="0.3">
      <c r="A17" s="144"/>
      <c r="B17" s="78" t="s">
        <v>440</v>
      </c>
      <c r="C17" s="92" t="s">
        <v>45</v>
      </c>
      <c r="D17" s="78">
        <v>23.309222999999999</v>
      </c>
      <c r="E17" s="78">
        <v>26.986765999999999</v>
      </c>
      <c r="F17" s="78">
        <v>23.092497999999999</v>
      </c>
      <c r="G17" s="78">
        <v>32.077289999999998</v>
      </c>
      <c r="H17" s="78">
        <v>28.818325999999999</v>
      </c>
      <c r="I17" s="79">
        <f t="shared" si="1"/>
        <v>-0.10159723592610226</v>
      </c>
      <c r="J17" s="78">
        <f t="shared" si="2"/>
        <v>26.856820600000002</v>
      </c>
      <c r="K17" s="79">
        <f t="shared" si="3"/>
        <v>7.3035651882039865E-2</v>
      </c>
      <c r="L17" s="76" t="s">
        <v>58</v>
      </c>
      <c r="M17" s="92" t="s">
        <v>59</v>
      </c>
    </row>
    <row r="18" spans="1:13" x14ac:dyDescent="0.3">
      <c r="A18" s="93" t="s">
        <v>60</v>
      </c>
      <c r="B18" s="85" t="s">
        <v>57</v>
      </c>
      <c r="C18" s="92" t="s">
        <v>45</v>
      </c>
      <c r="D18" s="78">
        <v>1313.1326507199999</v>
      </c>
      <c r="E18" s="78">
        <v>1231.0799839700003</v>
      </c>
      <c r="F18" s="78">
        <v>1385.73930765</v>
      </c>
      <c r="G18" s="78">
        <v>1426.7108681900002</v>
      </c>
      <c r="H18" s="78">
        <v>1593.46531198</v>
      </c>
      <c r="I18" s="79">
        <f t="shared" si="1"/>
        <v>0.11688033469707371</v>
      </c>
      <c r="J18" s="78">
        <f t="shared" si="2"/>
        <v>1390.0256245020003</v>
      </c>
      <c r="K18" s="79">
        <f t="shared" si="3"/>
        <v>0.14635678932241647</v>
      </c>
      <c r="L18" s="76" t="s">
        <v>58</v>
      </c>
      <c r="M18" s="92" t="s">
        <v>59</v>
      </c>
    </row>
    <row r="19" spans="1:13" x14ac:dyDescent="0.3">
      <c r="A19" s="93" t="s">
        <v>61</v>
      </c>
      <c r="B19" s="85" t="s">
        <v>57</v>
      </c>
      <c r="C19" s="92" t="s">
        <v>45</v>
      </c>
      <c r="D19" s="78">
        <f>+D14-D18</f>
        <v>-1024.8350677199999</v>
      </c>
      <c r="E19" s="78">
        <f t="shared" ref="E19:H19" si="4">+E14-E18</f>
        <v>-933.64368297000033</v>
      </c>
      <c r="F19" s="78">
        <f t="shared" si="4"/>
        <v>-1097.88513865</v>
      </c>
      <c r="G19" s="78">
        <f t="shared" si="4"/>
        <v>-1086.3403261900003</v>
      </c>
      <c r="H19" s="78">
        <f t="shared" si="4"/>
        <v>-1161.75052798</v>
      </c>
      <c r="I19" s="79">
        <f t="shared" si="1"/>
        <v>6.9416737988984956E-2</v>
      </c>
      <c r="J19" s="78">
        <f t="shared" si="2"/>
        <v>-1060.8909487020001</v>
      </c>
      <c r="K19" s="79">
        <f t="shared" si="3"/>
        <v>9.5070637940121605E-2</v>
      </c>
      <c r="L19" s="76" t="s">
        <v>58</v>
      </c>
      <c r="M19" s="92" t="s">
        <v>59</v>
      </c>
    </row>
    <row r="20" spans="1:13" x14ac:dyDescent="0.3">
      <c r="A20" s="13" t="s">
        <v>62</v>
      </c>
    </row>
    <row r="21" spans="1:13" x14ac:dyDescent="0.3">
      <c r="A21" s="13" t="s">
        <v>63</v>
      </c>
    </row>
    <row r="22" spans="1:13" x14ac:dyDescent="0.3">
      <c r="A22" s="13" t="s">
        <v>104</v>
      </c>
    </row>
    <row r="23" spans="1:13" x14ac:dyDescent="0.3">
      <c r="A23" s="13" t="s">
        <v>105</v>
      </c>
    </row>
    <row r="317" spans="20:20" x14ac:dyDescent="0.3">
      <c r="T317" t="s">
        <v>371</v>
      </c>
    </row>
  </sheetData>
  <mergeCells count="1">
    <mergeCell ref="A14:A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1B0-75A2-4442-8FC8-856D18FDB352}">
  <sheetPr codeName="Sheet11"/>
  <dimension ref="A1:M16"/>
  <sheetViews>
    <sheetView workbookViewId="0"/>
  </sheetViews>
  <sheetFormatPr defaultRowHeight="14.4" x14ac:dyDescent="0.3"/>
  <cols>
    <col min="1" max="1" width="27.88671875" bestFit="1" customWidth="1"/>
    <col min="2" max="2" width="14" bestFit="1" customWidth="1"/>
    <col min="3" max="3" width="10" bestFit="1" customWidth="1"/>
    <col min="6" max="6" width="11.88671875" bestFit="1" customWidth="1"/>
  </cols>
  <sheetData>
    <row r="1" spans="1:13" x14ac:dyDescent="0.3">
      <c r="A1" s="111" t="s">
        <v>106</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77" t="s">
        <v>45</v>
      </c>
      <c r="D3" s="78">
        <v>252.51195961000002</v>
      </c>
      <c r="E3" s="78">
        <v>139.35073956394561</v>
      </c>
      <c r="F3" s="78">
        <v>164.52</v>
      </c>
      <c r="G3" s="78">
        <v>174</v>
      </c>
      <c r="H3" s="78">
        <v>209.30915952000001</v>
      </c>
      <c r="I3" s="79">
        <f t="shared" ref="I3:I13" si="0">IF(ISBLANK(H3),"N/A",IF(ISNA(H3/G3-1),"N/A",IF(ISERROR(H3/G3-1),"N/A",H3/G3-1)))</f>
        <v>0.20292620413793117</v>
      </c>
      <c r="J3" s="78">
        <f t="shared" ref="J3:J13" si="1">IF(ISBLANK(H3),"",IF(ISNA(AVERAGE(D3:H3)),"N/A",IF(ISERROR(AVERAGE(D3:H3)),"N/A",AVERAGE(D3:H3))))</f>
        <v>187.93837173878913</v>
      </c>
      <c r="K3" s="79">
        <f t="shared" ref="K3:K13" si="2">IF(ISBLANK(H3),"",IF(ISNA(H3/AVERAGE(D3:H3)-1),"N/A",IF(ISERROR(H3/AVERAGE(D3:H3)-1),"N/A",H3/AVERAGE(D3:H3)-1)))</f>
        <v>0.11371167890564471</v>
      </c>
      <c r="L3" s="76" t="s">
        <v>386</v>
      </c>
      <c r="M3" s="92" t="s">
        <v>387</v>
      </c>
    </row>
    <row r="4" spans="1:13" x14ac:dyDescent="0.3">
      <c r="A4" s="75" t="s">
        <v>46</v>
      </c>
      <c r="B4" s="76"/>
      <c r="C4" s="77" t="s">
        <v>47</v>
      </c>
      <c r="D4" s="83">
        <v>30.236060000000002</v>
      </c>
      <c r="E4" s="83">
        <v>26.616533106436204</v>
      </c>
      <c r="F4" s="84" t="s">
        <v>74</v>
      </c>
      <c r="G4" s="84" t="s">
        <v>74</v>
      </c>
      <c r="H4" s="84" t="s">
        <v>74</v>
      </c>
      <c r="I4" s="79" t="str">
        <f t="shared" si="0"/>
        <v>N/A</v>
      </c>
      <c r="J4" s="84">
        <f t="shared" si="1"/>
        <v>28.426296553218101</v>
      </c>
      <c r="K4" s="79" t="str">
        <f t="shared" si="2"/>
        <v>N/A</v>
      </c>
      <c r="L4" s="80" t="s">
        <v>420</v>
      </c>
      <c r="M4" s="81" t="s">
        <v>421</v>
      </c>
    </row>
    <row r="5" spans="1:13" x14ac:dyDescent="0.3">
      <c r="A5" s="75" t="s">
        <v>48</v>
      </c>
      <c r="B5" s="76"/>
      <c r="C5" s="77" t="s">
        <v>49</v>
      </c>
      <c r="D5" s="83">
        <v>16.23</v>
      </c>
      <c r="E5" s="83">
        <v>12.146437629608041</v>
      </c>
      <c r="F5" s="84" t="s">
        <v>74</v>
      </c>
      <c r="G5" s="84" t="s">
        <v>74</v>
      </c>
      <c r="H5" s="84" t="s">
        <v>74</v>
      </c>
      <c r="I5" s="79" t="str">
        <f t="shared" si="0"/>
        <v>N/A</v>
      </c>
      <c r="J5" s="84">
        <f t="shared" si="1"/>
        <v>14.188218814804021</v>
      </c>
      <c r="K5" s="79" t="str">
        <f t="shared" si="2"/>
        <v>N/A</v>
      </c>
      <c r="L5" s="80" t="s">
        <v>420</v>
      </c>
      <c r="M5" s="81" t="s">
        <v>421</v>
      </c>
    </row>
    <row r="6" spans="1:13" x14ac:dyDescent="0.3">
      <c r="A6" s="75" t="s">
        <v>107</v>
      </c>
      <c r="B6" s="76"/>
      <c r="C6" s="82" t="s">
        <v>51</v>
      </c>
      <c r="D6" s="83">
        <v>576.22356330531693</v>
      </c>
      <c r="E6" s="83">
        <v>495.96394462511699</v>
      </c>
      <c r="F6" s="83">
        <v>352.10046956003902</v>
      </c>
      <c r="G6" s="83">
        <v>412.77437969388501</v>
      </c>
      <c r="H6" s="83">
        <v>478.18567993449903</v>
      </c>
      <c r="I6" s="79">
        <f t="shared" si="0"/>
        <v>0.15846744240551769</v>
      </c>
      <c r="J6" s="83">
        <f t="shared" si="1"/>
        <v>463.04960742377142</v>
      </c>
      <c r="K6" s="79">
        <f t="shared" si="2"/>
        <v>3.2687799035051146E-2</v>
      </c>
      <c r="L6" s="76" t="s">
        <v>386</v>
      </c>
      <c r="M6" s="92" t="s">
        <v>387</v>
      </c>
    </row>
    <row r="7" spans="1:13" x14ac:dyDescent="0.3">
      <c r="A7" s="75" t="s">
        <v>108</v>
      </c>
      <c r="B7" s="76"/>
      <c r="C7" s="77" t="s">
        <v>53</v>
      </c>
      <c r="D7" s="78">
        <v>516.33153954537704</v>
      </c>
      <c r="E7" s="78">
        <v>491.221438290501</v>
      </c>
      <c r="F7" s="78">
        <v>434.12706004008101</v>
      </c>
      <c r="G7" s="78">
        <v>437.12781330836702</v>
      </c>
      <c r="H7" s="78">
        <v>392.608371987125</v>
      </c>
      <c r="I7" s="79">
        <f t="shared" si="0"/>
        <v>-0.10184536413800849</v>
      </c>
      <c r="J7" s="78">
        <f t="shared" si="1"/>
        <v>454.28324463429016</v>
      </c>
      <c r="K7" s="79">
        <f t="shared" si="2"/>
        <v>-0.13576303633389564</v>
      </c>
      <c r="L7" s="76" t="s">
        <v>386</v>
      </c>
      <c r="M7" s="92" t="s">
        <v>387</v>
      </c>
    </row>
    <row r="8" spans="1:13" x14ac:dyDescent="0.3">
      <c r="A8" s="145" t="s">
        <v>109</v>
      </c>
      <c r="B8" s="85" t="s">
        <v>57</v>
      </c>
      <c r="C8" s="77" t="s">
        <v>45</v>
      </c>
      <c r="D8" s="78">
        <v>519.95409800000004</v>
      </c>
      <c r="E8" s="78">
        <v>469.90477900000002</v>
      </c>
      <c r="F8" s="78">
        <v>414.72675299999997</v>
      </c>
      <c r="G8" s="78">
        <v>441.24740000000003</v>
      </c>
      <c r="H8" s="78">
        <v>475.73866299999997</v>
      </c>
      <c r="I8" s="79">
        <f t="shared" si="0"/>
        <v>7.816762886308215E-2</v>
      </c>
      <c r="J8" s="78">
        <f t="shared" si="1"/>
        <v>464.31433859999999</v>
      </c>
      <c r="K8" s="79">
        <f t="shared" si="2"/>
        <v>2.4604720229934207E-2</v>
      </c>
      <c r="L8" s="76" t="s">
        <v>58</v>
      </c>
      <c r="M8" s="92" t="s">
        <v>59</v>
      </c>
    </row>
    <row r="9" spans="1:13" x14ac:dyDescent="0.3">
      <c r="A9" s="145"/>
      <c r="B9" s="78" t="s">
        <v>441</v>
      </c>
      <c r="C9" s="77" t="s">
        <v>45</v>
      </c>
      <c r="D9" s="78">
        <v>227.615216</v>
      </c>
      <c r="E9" s="78">
        <v>226.474469</v>
      </c>
      <c r="F9" s="78">
        <v>181.815811</v>
      </c>
      <c r="G9" s="78">
        <v>208.04686000000001</v>
      </c>
      <c r="H9" s="78">
        <v>179.85796199999999</v>
      </c>
      <c r="I9" s="79">
        <f t="shared" si="0"/>
        <v>-0.13549302306220834</v>
      </c>
      <c r="J9" s="78">
        <f t="shared" si="1"/>
        <v>204.7620636</v>
      </c>
      <c r="K9" s="79">
        <f t="shared" si="2"/>
        <v>-0.12162458788581976</v>
      </c>
      <c r="L9" s="76" t="s">
        <v>58</v>
      </c>
      <c r="M9" s="92" t="s">
        <v>59</v>
      </c>
    </row>
    <row r="10" spans="1:13" x14ac:dyDescent="0.3">
      <c r="A10" s="145"/>
      <c r="B10" s="78" t="s">
        <v>442</v>
      </c>
      <c r="C10" s="77" t="s">
        <v>45</v>
      </c>
      <c r="D10" s="78">
        <v>114.824506</v>
      </c>
      <c r="E10" s="78">
        <v>93.696257000000003</v>
      </c>
      <c r="F10" s="78">
        <v>94.209445000000002</v>
      </c>
      <c r="G10" s="78">
        <v>86.076205000000002</v>
      </c>
      <c r="H10" s="78">
        <v>107.627426</v>
      </c>
      <c r="I10" s="79">
        <f t="shared" si="0"/>
        <v>0.25037373569153054</v>
      </c>
      <c r="J10" s="78">
        <f t="shared" si="1"/>
        <v>99.286767800000007</v>
      </c>
      <c r="K10" s="79">
        <f t="shared" si="2"/>
        <v>8.4005737973071426E-2</v>
      </c>
      <c r="L10" s="76" t="s">
        <v>58</v>
      </c>
      <c r="M10" s="92" t="s">
        <v>59</v>
      </c>
    </row>
    <row r="11" spans="1:13" x14ac:dyDescent="0.3">
      <c r="A11" s="145"/>
      <c r="B11" s="78" t="s">
        <v>443</v>
      </c>
      <c r="C11" s="77" t="s">
        <v>45</v>
      </c>
      <c r="D11" s="78">
        <v>42.190545999999998</v>
      </c>
      <c r="E11" s="78">
        <v>33.926205000000003</v>
      </c>
      <c r="F11" s="78">
        <v>32.828811000000002</v>
      </c>
      <c r="G11" s="78">
        <v>31.17887</v>
      </c>
      <c r="H11" s="78">
        <v>36.77469</v>
      </c>
      <c r="I11" s="79">
        <f t="shared" si="0"/>
        <v>0.17947475325436746</v>
      </c>
      <c r="J11" s="78">
        <f t="shared" si="1"/>
        <v>35.379824399999997</v>
      </c>
      <c r="K11" s="79">
        <f t="shared" si="2"/>
        <v>3.9425452886080459E-2</v>
      </c>
      <c r="L11" s="76" t="s">
        <v>58</v>
      </c>
      <c r="M11" s="92" t="s">
        <v>59</v>
      </c>
    </row>
    <row r="12" spans="1:13" x14ac:dyDescent="0.3">
      <c r="A12" s="75" t="s">
        <v>60</v>
      </c>
      <c r="B12" s="85" t="s">
        <v>57</v>
      </c>
      <c r="C12" s="77" t="s">
        <v>45</v>
      </c>
      <c r="D12" s="78">
        <v>242.03695989999997</v>
      </c>
      <c r="E12" s="78">
        <v>298.20472947000002</v>
      </c>
      <c r="F12" s="78">
        <v>315.79784408</v>
      </c>
      <c r="G12" s="78">
        <v>289.04440322000005</v>
      </c>
      <c r="H12" s="78">
        <v>282.56837108000002</v>
      </c>
      <c r="I12" s="79">
        <f t="shared" si="0"/>
        <v>-2.2404973311560439E-2</v>
      </c>
      <c r="J12" s="78">
        <f t="shared" si="1"/>
        <v>285.53046155000004</v>
      </c>
      <c r="K12" s="79">
        <f t="shared" si="2"/>
        <v>-1.0373991110862013E-2</v>
      </c>
      <c r="L12" s="76" t="s">
        <v>58</v>
      </c>
      <c r="M12" s="92" t="s">
        <v>59</v>
      </c>
    </row>
    <row r="13" spans="1:13" x14ac:dyDescent="0.3">
      <c r="A13" s="86" t="s">
        <v>61</v>
      </c>
      <c r="B13" s="87" t="s">
        <v>57</v>
      </c>
      <c r="C13" s="88" t="s">
        <v>45</v>
      </c>
      <c r="D13" s="78">
        <f>+D8-D12</f>
        <v>277.9171381000001</v>
      </c>
      <c r="E13" s="78">
        <f t="shared" ref="E13:H13" si="3">+E8-E12</f>
        <v>171.70004953</v>
      </c>
      <c r="F13" s="78">
        <f t="shared" si="3"/>
        <v>98.928908919999969</v>
      </c>
      <c r="G13" s="78">
        <f t="shared" si="3"/>
        <v>152.20299677999998</v>
      </c>
      <c r="H13" s="78">
        <f t="shared" si="3"/>
        <v>193.17029191999995</v>
      </c>
      <c r="I13" s="79">
        <f t="shared" si="0"/>
        <v>0.2691622110385623</v>
      </c>
      <c r="J13" s="78">
        <f t="shared" si="1"/>
        <v>178.78387705</v>
      </c>
      <c r="K13" s="79">
        <f t="shared" si="2"/>
        <v>8.0468189343363195E-2</v>
      </c>
      <c r="L13" s="76" t="s">
        <v>58</v>
      </c>
      <c r="M13" s="92" t="s">
        <v>59</v>
      </c>
    </row>
    <row r="14" spans="1:13" x14ac:dyDescent="0.3">
      <c r="A14" s="13" t="s">
        <v>62</v>
      </c>
    </row>
    <row r="15" spans="1:13" x14ac:dyDescent="0.3">
      <c r="A15" s="13" t="s">
        <v>63</v>
      </c>
    </row>
    <row r="16" spans="1:13" x14ac:dyDescent="0.3">
      <c r="A16" s="13" t="s">
        <v>388</v>
      </c>
    </row>
  </sheetData>
  <mergeCells count="1">
    <mergeCell ref="A8: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6F6-A7D7-4E4B-BBF0-DDE8594F36CD}">
  <sheetPr codeName="Sheet12"/>
  <dimension ref="A1:M222"/>
  <sheetViews>
    <sheetView workbookViewId="0"/>
  </sheetViews>
  <sheetFormatPr defaultRowHeight="14.4" x14ac:dyDescent="0.3"/>
  <cols>
    <col min="1" max="1" width="34.33203125" bestFit="1" customWidth="1"/>
    <col min="2" max="2" width="11.88671875" bestFit="1" customWidth="1"/>
    <col min="3" max="3" width="12.109375" bestFit="1" customWidth="1"/>
    <col min="4" max="4" width="11.5546875" bestFit="1" customWidth="1"/>
  </cols>
  <sheetData>
    <row r="1" spans="1:13" x14ac:dyDescent="0.3">
      <c r="A1" s="111" t="s">
        <v>19</v>
      </c>
      <c r="B1" s="111"/>
      <c r="C1" s="111"/>
      <c r="D1" s="111"/>
      <c r="E1" s="111"/>
      <c r="F1" s="111"/>
      <c r="G1" s="111"/>
      <c r="H1" s="111"/>
      <c r="I1" s="111"/>
      <c r="J1" s="111"/>
      <c r="K1" s="111"/>
      <c r="L1" s="111"/>
      <c r="M1" s="111"/>
    </row>
    <row r="2" spans="1:13" ht="48.6"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4" t="s">
        <v>39</v>
      </c>
      <c r="J2" s="114" t="s">
        <v>111</v>
      </c>
      <c r="K2" s="115" t="s">
        <v>41</v>
      </c>
      <c r="L2" s="108" t="s">
        <v>42</v>
      </c>
      <c r="M2" s="109" t="s">
        <v>43</v>
      </c>
    </row>
    <row r="3" spans="1:13" x14ac:dyDescent="0.3">
      <c r="A3" s="93" t="s">
        <v>44</v>
      </c>
      <c r="B3" s="76"/>
      <c r="C3" s="92" t="s">
        <v>45</v>
      </c>
      <c r="D3" s="78">
        <v>2751.7723313000001</v>
      </c>
      <c r="E3" s="78">
        <v>3332.7019005474381</v>
      </c>
      <c r="F3" s="78">
        <v>3110.41428</v>
      </c>
      <c r="G3" s="78">
        <v>3048.5934680999999</v>
      </c>
      <c r="H3" s="78">
        <v>3935.6428346999996</v>
      </c>
      <c r="I3" s="79">
        <f t="shared" ref="I3:I19" si="0">IF(ISBLANK(H3),"N/A",IF(ISNA(H3/G3-1),"N/A",IF(ISERROR(H3/G3-1),"N/A",H3/G3-1)))</f>
        <v>0.29097004106383628</v>
      </c>
      <c r="J3" s="78">
        <f t="shared" ref="J3:J19" si="1">IF(ISBLANK(H3),"",IF(ISNA(AVERAGE(D3:H3)),"N/A",IF(ISERROR(AVERAGE(D3:H3)),"N/A",AVERAGE(D3:H3))))</f>
        <v>3235.8249629294878</v>
      </c>
      <c r="K3" s="79">
        <f t="shared" ref="K3:K19" si="2">IF(ISBLANK(H3),"",IF(ISNA(H3/AVERAGE(D3:H3)-1),"N/A",IF(ISERROR(H3/AVERAGE(D3:H3)-1),"N/A",H3/AVERAGE(D3:H3)-1)))</f>
        <v>0.21627185641615987</v>
      </c>
      <c r="L3" s="80" t="s">
        <v>375</v>
      </c>
      <c r="M3" s="81" t="s">
        <v>390</v>
      </c>
    </row>
    <row r="4" spans="1:13" x14ac:dyDescent="0.3">
      <c r="A4" s="93" t="s">
        <v>112</v>
      </c>
      <c r="B4" s="85"/>
      <c r="C4" s="94" t="s">
        <v>113</v>
      </c>
      <c r="D4" s="84">
        <v>311.67624999999998</v>
      </c>
      <c r="E4" s="84">
        <v>327.17624999999998</v>
      </c>
      <c r="F4" s="84">
        <v>326.05975000000001</v>
      </c>
      <c r="G4" s="84">
        <v>367.57549999999998</v>
      </c>
      <c r="H4" s="84">
        <v>431.90924999999999</v>
      </c>
      <c r="I4" s="79">
        <f t="shared" si="0"/>
        <v>0.1750218662560481</v>
      </c>
      <c r="J4" s="84">
        <f t="shared" si="1"/>
        <v>352.87939999999998</v>
      </c>
      <c r="K4" s="79">
        <f t="shared" si="2"/>
        <v>0.22395710829252158</v>
      </c>
      <c r="L4" s="80" t="s">
        <v>416</v>
      </c>
      <c r="M4" s="95" t="s">
        <v>417</v>
      </c>
    </row>
    <row r="5" spans="1:13" x14ac:dyDescent="0.3">
      <c r="A5" s="93" t="s">
        <v>402</v>
      </c>
      <c r="B5" s="85"/>
      <c r="C5" s="94" t="s">
        <v>113</v>
      </c>
      <c r="D5" s="84">
        <v>5572.0460000000003</v>
      </c>
      <c r="E5" s="84">
        <v>5823.0290000000005</v>
      </c>
      <c r="F5" s="84">
        <v>6134.4070000000002</v>
      </c>
      <c r="G5" s="84">
        <v>6196.7169999999996</v>
      </c>
      <c r="H5" s="84" t="s">
        <v>74</v>
      </c>
      <c r="I5" s="79" t="str">
        <f t="shared" si="0"/>
        <v>N/A</v>
      </c>
      <c r="J5" s="84">
        <f t="shared" si="1"/>
        <v>5931.5497500000001</v>
      </c>
      <c r="K5" s="79" t="str">
        <f t="shared" si="2"/>
        <v>N/A</v>
      </c>
      <c r="L5" s="76" t="s">
        <v>413</v>
      </c>
      <c r="M5" s="92" t="s">
        <v>412</v>
      </c>
    </row>
    <row r="6" spans="1:13" x14ac:dyDescent="0.3">
      <c r="A6" s="93" t="s">
        <v>403</v>
      </c>
      <c r="B6" s="85"/>
      <c r="C6" s="94" t="s">
        <v>113</v>
      </c>
      <c r="D6" s="84">
        <v>5289.3869999999997</v>
      </c>
      <c r="E6" s="84">
        <v>5531.3469999999998</v>
      </c>
      <c r="F6" s="84">
        <v>5866.4070000000002</v>
      </c>
      <c r="G6" s="84">
        <v>5905.7169999999996</v>
      </c>
      <c r="H6" s="84" t="s">
        <v>74</v>
      </c>
      <c r="I6" s="79" t="str">
        <f t="shared" ref="I6" si="3">IF(ISBLANK(H6),"N/A",IF(ISNA(H6/G6-1),"N/A",IF(ISERROR(H6/G6-1),"N/A",H6/G6-1)))</f>
        <v>N/A</v>
      </c>
      <c r="J6" s="84">
        <f t="shared" ref="J6" si="4">IF(ISBLANK(H6),"",IF(ISNA(AVERAGE(D6:H6)),"N/A",IF(ISERROR(AVERAGE(D6:H6)),"N/A",AVERAGE(D6:H6))))</f>
        <v>5648.2145</v>
      </c>
      <c r="K6" s="79" t="str">
        <f t="shared" ref="K6" si="5">IF(ISBLANK(H6),"",IF(ISNA(H6/AVERAGE(D6:H6)-1),"N/A",IF(ISERROR(H6/AVERAGE(D6:H6)-1),"N/A",H6/AVERAGE(D6:H6)-1)))</f>
        <v>N/A</v>
      </c>
      <c r="L6" s="76" t="s">
        <v>413</v>
      </c>
      <c r="M6" s="92" t="s">
        <v>412</v>
      </c>
    </row>
    <row r="7" spans="1:13" x14ac:dyDescent="0.3">
      <c r="A7" s="93" t="s">
        <v>114</v>
      </c>
      <c r="B7" s="85"/>
      <c r="C7" s="94" t="s">
        <v>115</v>
      </c>
      <c r="D7" s="97">
        <v>0.20080519687890541</v>
      </c>
      <c r="E7" s="97">
        <v>0.20804659138869028</v>
      </c>
      <c r="F7" s="97">
        <v>0.21088522187191758</v>
      </c>
      <c r="G7" s="97">
        <v>0.20933694608698561</v>
      </c>
      <c r="H7" s="84" t="s">
        <v>74</v>
      </c>
      <c r="I7" s="79" t="str">
        <f t="shared" si="0"/>
        <v>N/A</v>
      </c>
      <c r="J7" s="84">
        <f t="shared" si="1"/>
        <v>0.20726848905662473</v>
      </c>
      <c r="K7" s="79" t="str">
        <f t="shared" si="2"/>
        <v>N/A</v>
      </c>
      <c r="L7" s="76" t="s">
        <v>413</v>
      </c>
      <c r="M7" s="92" t="s">
        <v>412</v>
      </c>
    </row>
    <row r="8" spans="1:13" x14ac:dyDescent="0.3">
      <c r="A8" s="93" t="s">
        <v>116</v>
      </c>
      <c r="B8" s="76"/>
      <c r="C8" s="94" t="s">
        <v>51</v>
      </c>
      <c r="D8" s="84">
        <v>401.91699999999997</v>
      </c>
      <c r="E8" s="84">
        <v>399.05700000000002</v>
      </c>
      <c r="F8" s="84">
        <v>425.20100000000002</v>
      </c>
      <c r="G8" s="84">
        <v>512.60199999999998</v>
      </c>
      <c r="H8" s="84">
        <v>595.51900000000001</v>
      </c>
      <c r="I8" s="79">
        <f t="shared" si="0"/>
        <v>0.16175707468952538</v>
      </c>
      <c r="J8" s="84">
        <f t="shared" si="1"/>
        <v>466.85920000000004</v>
      </c>
      <c r="K8" s="79">
        <f t="shared" si="2"/>
        <v>0.27558587257143041</v>
      </c>
      <c r="L8" s="80" t="s">
        <v>375</v>
      </c>
      <c r="M8" s="81" t="s">
        <v>390</v>
      </c>
    </row>
    <row r="9" spans="1:13" x14ac:dyDescent="0.3">
      <c r="A9" s="93" t="s">
        <v>119</v>
      </c>
      <c r="B9" s="76"/>
      <c r="C9" s="94" t="s">
        <v>120</v>
      </c>
      <c r="D9" s="84">
        <v>1356.0999999999997</v>
      </c>
      <c r="E9" s="84">
        <v>1300.6000000000001</v>
      </c>
      <c r="F9" s="84">
        <v>1399.5</v>
      </c>
      <c r="G9" s="84">
        <v>1719.2999999999997</v>
      </c>
      <c r="H9" s="84">
        <v>2011.9</v>
      </c>
      <c r="I9" s="79">
        <f t="shared" si="0"/>
        <v>0.17018554062699964</v>
      </c>
      <c r="J9" s="84">
        <f t="shared" si="1"/>
        <v>1557.48</v>
      </c>
      <c r="K9" s="79">
        <f t="shared" si="2"/>
        <v>0.2917661864036778</v>
      </c>
      <c r="L9" s="80" t="s">
        <v>375</v>
      </c>
      <c r="M9" s="81" t="s">
        <v>390</v>
      </c>
    </row>
    <row r="10" spans="1:13" x14ac:dyDescent="0.3">
      <c r="A10" s="93" t="s">
        <v>121</v>
      </c>
      <c r="B10" s="76"/>
      <c r="C10" s="94" t="s">
        <v>122</v>
      </c>
      <c r="D10" s="84">
        <f>100*D9/D8</f>
        <v>337.40797229278678</v>
      </c>
      <c r="E10" s="84">
        <f>100*E9/E8</f>
        <v>325.91835251605664</v>
      </c>
      <c r="F10" s="84">
        <f>100*F9/F8</f>
        <v>329.13845451915682</v>
      </c>
      <c r="G10" s="84">
        <f>100*G9/G8</f>
        <v>335.40641667414479</v>
      </c>
      <c r="H10" s="84">
        <f>100*H9/H8</f>
        <v>337.8397666573191</v>
      </c>
      <c r="I10" s="79">
        <f t="shared" si="0"/>
        <v>7.2549297276514046E-3</v>
      </c>
      <c r="J10" s="84">
        <f t="shared" si="1"/>
        <v>333.14219253189287</v>
      </c>
      <c r="K10" s="79">
        <f t="shared" si="2"/>
        <v>1.4100808095559803E-2</v>
      </c>
      <c r="L10" s="80" t="s">
        <v>375</v>
      </c>
      <c r="M10" s="81" t="s">
        <v>390</v>
      </c>
    </row>
    <row r="11" spans="1:13" x14ac:dyDescent="0.3">
      <c r="A11" s="93" t="s">
        <v>123</v>
      </c>
      <c r="B11" s="76"/>
      <c r="C11" s="92" t="s">
        <v>124</v>
      </c>
      <c r="D11" s="84">
        <v>833.18246128168596</v>
      </c>
      <c r="E11" s="84">
        <v>1073.4479348531399</v>
      </c>
      <c r="F11" s="84">
        <v>813.46335915661302</v>
      </c>
      <c r="G11" s="84">
        <v>552.51699338022195</v>
      </c>
      <c r="H11" s="84">
        <v>665.41330510356102</v>
      </c>
      <c r="I11" s="79">
        <f t="shared" si="0"/>
        <v>0.2043309311314665</v>
      </c>
      <c r="J11" s="84">
        <f t="shared" si="1"/>
        <v>787.60481075504435</v>
      </c>
      <c r="K11" s="79">
        <f t="shared" si="2"/>
        <v>-0.15514316822715113</v>
      </c>
      <c r="L11" s="80" t="s">
        <v>414</v>
      </c>
      <c r="M11" s="95" t="s">
        <v>415</v>
      </c>
    </row>
    <row r="12" spans="1:13" x14ac:dyDescent="0.3">
      <c r="A12" s="93" t="s">
        <v>125</v>
      </c>
      <c r="B12" s="76"/>
      <c r="C12" s="92" t="s">
        <v>124</v>
      </c>
      <c r="D12" s="84">
        <v>298.00284772182198</v>
      </c>
      <c r="E12" s="84">
        <v>365.88501226934102</v>
      </c>
      <c r="F12" s="84">
        <v>284.43991299301001</v>
      </c>
      <c r="G12" s="84">
        <v>209.03008481805799</v>
      </c>
      <c r="H12" s="84">
        <v>284.14200350592802</v>
      </c>
      <c r="I12" s="79">
        <f t="shared" si="0"/>
        <v>0.35933544567638798</v>
      </c>
      <c r="J12" s="84">
        <f t="shared" si="1"/>
        <v>288.29997226163175</v>
      </c>
      <c r="K12" s="79">
        <f t="shared" si="2"/>
        <v>-1.4422369600266105E-2</v>
      </c>
      <c r="L12" s="80" t="s">
        <v>414</v>
      </c>
      <c r="M12" s="95" t="s">
        <v>415</v>
      </c>
    </row>
    <row r="13" spans="1:13" x14ac:dyDescent="0.3">
      <c r="A13" s="93" t="s">
        <v>126</v>
      </c>
      <c r="B13" s="76"/>
      <c r="C13" s="92" t="s">
        <v>124</v>
      </c>
      <c r="D13" s="84">
        <v>367.82502801643602</v>
      </c>
      <c r="E13" s="84">
        <v>445.37602214967302</v>
      </c>
      <c r="F13" s="84">
        <v>368.49145036547901</v>
      </c>
      <c r="G13" s="84">
        <v>264.00760966080099</v>
      </c>
      <c r="H13" s="84">
        <v>343.41210277048702</v>
      </c>
      <c r="I13" s="79">
        <f t="shared" si="0"/>
        <v>0.30076592569322358</v>
      </c>
      <c r="J13" s="84">
        <f t="shared" si="1"/>
        <v>357.82244259257527</v>
      </c>
      <c r="K13" s="79">
        <f t="shared" si="2"/>
        <v>-4.0272319750765839E-2</v>
      </c>
      <c r="L13" s="80" t="s">
        <v>414</v>
      </c>
      <c r="M13" s="95" t="s">
        <v>415</v>
      </c>
    </row>
    <row r="14" spans="1:13" x14ac:dyDescent="0.3">
      <c r="A14" s="144" t="s">
        <v>56</v>
      </c>
      <c r="B14" s="85" t="s">
        <v>57</v>
      </c>
      <c r="C14" s="92" t="s">
        <v>45</v>
      </c>
      <c r="D14" s="78">
        <v>1551.6980349999999</v>
      </c>
      <c r="E14" s="78">
        <v>1928.938463</v>
      </c>
      <c r="F14" s="78">
        <v>1889.8935120000001</v>
      </c>
      <c r="G14" s="78">
        <v>2245.9082779999999</v>
      </c>
      <c r="H14" s="78">
        <v>2771.73513</v>
      </c>
      <c r="I14" s="79">
        <f t="shared" si="0"/>
        <v>0.23412659241287148</v>
      </c>
      <c r="J14" s="78">
        <f t="shared" si="1"/>
        <v>2077.6346836000002</v>
      </c>
      <c r="K14" s="79">
        <f t="shared" si="2"/>
        <v>0.33408204622253623</v>
      </c>
      <c r="L14" s="76" t="s">
        <v>58</v>
      </c>
      <c r="M14" s="92" t="s">
        <v>59</v>
      </c>
    </row>
    <row r="15" spans="1:13" x14ac:dyDescent="0.3">
      <c r="A15" s="144"/>
      <c r="B15" s="78" t="s">
        <v>426</v>
      </c>
      <c r="C15" s="92" t="s">
        <v>45</v>
      </c>
      <c r="D15" s="78">
        <v>497.83591200000001</v>
      </c>
      <c r="E15" s="78">
        <v>788.11124400000006</v>
      </c>
      <c r="F15" s="78">
        <v>808.09175600000003</v>
      </c>
      <c r="G15" s="78">
        <v>861.91816900000003</v>
      </c>
      <c r="H15" s="78">
        <v>1008.146016</v>
      </c>
      <c r="I15" s="79">
        <f t="shared" si="0"/>
        <v>0.169653979065848</v>
      </c>
      <c r="J15" s="78">
        <f t="shared" si="1"/>
        <v>792.82061940000006</v>
      </c>
      <c r="K15" s="79">
        <f t="shared" si="2"/>
        <v>0.27159409244799471</v>
      </c>
      <c r="L15" s="76" t="s">
        <v>58</v>
      </c>
      <c r="M15" s="92" t="s">
        <v>59</v>
      </c>
    </row>
    <row r="16" spans="1:13" x14ac:dyDescent="0.3">
      <c r="A16" s="144"/>
      <c r="B16" s="78" t="s">
        <v>441</v>
      </c>
      <c r="C16" s="92" t="s">
        <v>45</v>
      </c>
      <c r="D16" s="78">
        <v>201.101641</v>
      </c>
      <c r="E16" s="78">
        <v>207.77028999999999</v>
      </c>
      <c r="F16" s="78">
        <v>220.40350100000001</v>
      </c>
      <c r="G16" s="78">
        <v>479.25128899999999</v>
      </c>
      <c r="H16" s="78">
        <v>785.51468199999999</v>
      </c>
      <c r="I16" s="79">
        <f t="shared" si="0"/>
        <v>0.63904552795057801</v>
      </c>
      <c r="J16" s="78">
        <f t="shared" si="1"/>
        <v>378.80828059999999</v>
      </c>
      <c r="K16" s="79">
        <f t="shared" si="2"/>
        <v>1.073647072222951</v>
      </c>
      <c r="L16" s="76" t="s">
        <v>58</v>
      </c>
      <c r="M16" s="92" t="s">
        <v>59</v>
      </c>
    </row>
    <row r="17" spans="1:13" x14ac:dyDescent="0.3">
      <c r="A17" s="144"/>
      <c r="B17" s="78" t="s">
        <v>428</v>
      </c>
      <c r="C17" s="92" t="s">
        <v>45</v>
      </c>
      <c r="D17" s="78">
        <v>334.40634699999998</v>
      </c>
      <c r="E17" s="78">
        <v>323.73936400000002</v>
      </c>
      <c r="F17" s="78">
        <v>258.19449800000001</v>
      </c>
      <c r="G17" s="78">
        <v>237.94256300000001</v>
      </c>
      <c r="H17" s="78">
        <v>221.62204199999999</v>
      </c>
      <c r="I17" s="79">
        <f t="shared" si="0"/>
        <v>-6.8590170645509985E-2</v>
      </c>
      <c r="J17" s="78">
        <f t="shared" si="1"/>
        <v>275.18096279999997</v>
      </c>
      <c r="K17" s="79">
        <f t="shared" si="2"/>
        <v>-0.19463163532473837</v>
      </c>
      <c r="L17" s="76" t="s">
        <v>58</v>
      </c>
      <c r="M17" s="92" t="s">
        <v>59</v>
      </c>
    </row>
    <row r="18" spans="1:13" x14ac:dyDescent="0.3">
      <c r="A18" s="93" t="s">
        <v>60</v>
      </c>
      <c r="B18" s="85" t="s">
        <v>57</v>
      </c>
      <c r="C18" s="92" t="s">
        <v>45</v>
      </c>
      <c r="D18" s="78">
        <v>24.422131149999998</v>
      </c>
      <c r="E18" s="78">
        <v>23.7640779</v>
      </c>
      <c r="F18" s="78">
        <v>18.581478180000001</v>
      </c>
      <c r="G18" s="78">
        <v>10.06299209</v>
      </c>
      <c r="H18" s="78">
        <v>9.1271088800000015</v>
      </c>
      <c r="I18" s="79">
        <f t="shared" si="0"/>
        <v>-9.3002478947590839E-2</v>
      </c>
      <c r="J18" s="78">
        <f t="shared" si="1"/>
        <v>17.191557640000003</v>
      </c>
      <c r="K18" s="79">
        <f t="shared" si="2"/>
        <v>-0.46909354747683008</v>
      </c>
      <c r="L18" s="76" t="s">
        <v>58</v>
      </c>
      <c r="M18" s="92" t="s">
        <v>59</v>
      </c>
    </row>
    <row r="19" spans="1:13" x14ac:dyDescent="0.3">
      <c r="A19" s="93" t="s">
        <v>61</v>
      </c>
      <c r="B19" s="85" t="s">
        <v>57</v>
      </c>
      <c r="C19" s="92" t="s">
        <v>45</v>
      </c>
      <c r="D19" s="78">
        <f>+D14-D18</f>
        <v>1527.2759038499998</v>
      </c>
      <c r="E19" s="78">
        <f t="shared" ref="E19:H19" si="6">+E14-E18</f>
        <v>1905.1743850999999</v>
      </c>
      <c r="F19" s="78">
        <f t="shared" si="6"/>
        <v>1871.3120338200001</v>
      </c>
      <c r="G19" s="78">
        <f t="shared" si="6"/>
        <v>2235.8452859099998</v>
      </c>
      <c r="H19" s="78">
        <f t="shared" si="6"/>
        <v>2762.6080211200001</v>
      </c>
      <c r="I19" s="79">
        <f t="shared" si="0"/>
        <v>0.23559892025158868</v>
      </c>
      <c r="J19" s="78">
        <f t="shared" si="1"/>
        <v>2060.4431259600001</v>
      </c>
      <c r="K19" s="79">
        <f t="shared" si="2"/>
        <v>0.3407834394035254</v>
      </c>
      <c r="L19" s="76" t="s">
        <v>58</v>
      </c>
      <c r="M19" s="92" t="s">
        <v>59</v>
      </c>
    </row>
    <row r="20" spans="1:13" x14ac:dyDescent="0.3">
      <c r="A20" s="13" t="s">
        <v>127</v>
      </c>
    </row>
    <row r="21" spans="1:13" x14ac:dyDescent="0.3">
      <c r="A21" s="13" t="s">
        <v>128</v>
      </c>
    </row>
    <row r="222" spans="3:3" x14ac:dyDescent="0.3">
      <c r="C222" t="s">
        <v>404</v>
      </c>
    </row>
  </sheetData>
  <mergeCells count="1">
    <mergeCell ref="A14:A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572-D742-49A2-B5A2-8FBD0664F323}">
  <sheetPr codeName="Sheet13"/>
  <dimension ref="A1:M18"/>
  <sheetViews>
    <sheetView workbookViewId="0"/>
  </sheetViews>
  <sheetFormatPr defaultRowHeight="14.4" x14ac:dyDescent="0.3"/>
  <cols>
    <col min="1" max="1" width="40.33203125" bestFit="1" customWidth="1"/>
    <col min="2" max="2" width="11.88671875" bestFit="1" customWidth="1"/>
    <col min="3" max="3" width="10.88671875" bestFit="1" customWidth="1"/>
    <col min="4" max="4" width="9.109375" bestFit="1" customWidth="1"/>
  </cols>
  <sheetData>
    <row r="1" spans="1:13" x14ac:dyDescent="0.3">
      <c r="A1" s="111" t="s">
        <v>129</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75" t="s">
        <v>130</v>
      </c>
      <c r="B3" s="76"/>
      <c r="C3" s="77" t="s">
        <v>45</v>
      </c>
      <c r="D3" s="78">
        <v>1359.9500029999999</v>
      </c>
      <c r="E3" s="78">
        <v>1262.4716682000001</v>
      </c>
      <c r="F3" s="78">
        <v>1484.794792164907</v>
      </c>
      <c r="G3" s="78">
        <v>1214.6322937</v>
      </c>
      <c r="H3" s="78">
        <v>1721.1612914</v>
      </c>
      <c r="I3" s="79">
        <f t="shared" ref="I3:I16" si="0">IF(ISBLANK(H3),"N/A",IF(ISNA(H3/G3-1),"N/A",IF(ISERROR(H3/G3-1),"N/A",H3/G3-1)))</f>
        <v>0.41702250164699373</v>
      </c>
      <c r="J3" s="78">
        <f t="shared" ref="J3:J16" si="1">IF(ISBLANK(H3),"",IF(ISNA(AVERAGE(D3:H3)),"N/A",IF(ISERROR(AVERAGE(D3:H3)),"N/A",AVERAGE(D3:H3))))</f>
        <v>1408.6020096929813</v>
      </c>
      <c r="K3" s="79">
        <f t="shared" ref="K3:K16" si="2">IF(ISBLANK(H3),"",IF(ISNA(H3/AVERAGE(D3:H3)-1),"N/A",IF(ISERROR(H3/AVERAGE(D3:H3)-1),"N/A",H3/AVERAGE(D3:H3)-1)))</f>
        <v>0.2218932527117039</v>
      </c>
      <c r="L3" s="80" t="s">
        <v>375</v>
      </c>
      <c r="M3" s="81" t="s">
        <v>390</v>
      </c>
    </row>
    <row r="4" spans="1:13" x14ac:dyDescent="0.3">
      <c r="A4" s="75" t="s">
        <v>131</v>
      </c>
      <c r="B4" s="76"/>
      <c r="C4" s="77" t="s">
        <v>132</v>
      </c>
      <c r="D4" s="83">
        <v>20.371834920000001</v>
      </c>
      <c r="E4" s="83">
        <v>24.71153365</v>
      </c>
      <c r="F4" s="84">
        <v>27.148736080838219</v>
      </c>
      <c r="G4" s="84" t="s">
        <v>74</v>
      </c>
      <c r="H4" s="84" t="s">
        <v>74</v>
      </c>
      <c r="I4" s="79" t="str">
        <f t="shared" si="0"/>
        <v>N/A</v>
      </c>
      <c r="J4" s="84">
        <f t="shared" si="1"/>
        <v>24.077368216946073</v>
      </c>
      <c r="K4" s="79" t="str">
        <f t="shared" si="2"/>
        <v>N/A</v>
      </c>
      <c r="L4" s="80" t="s">
        <v>420</v>
      </c>
      <c r="M4" s="81" t="s">
        <v>421</v>
      </c>
    </row>
    <row r="5" spans="1:13" x14ac:dyDescent="0.3">
      <c r="A5" s="75" t="s">
        <v>133</v>
      </c>
      <c r="B5" s="76"/>
      <c r="C5" s="77" t="s">
        <v>132</v>
      </c>
      <c r="D5" s="84">
        <v>6.2350110700000005</v>
      </c>
      <c r="E5" s="84" t="s">
        <v>74</v>
      </c>
      <c r="F5" s="84" t="s">
        <v>74</v>
      </c>
      <c r="G5" s="84" t="s">
        <v>74</v>
      </c>
      <c r="H5" s="84" t="s">
        <v>74</v>
      </c>
      <c r="I5" s="79" t="str">
        <f t="shared" si="0"/>
        <v>N/A</v>
      </c>
      <c r="J5" s="84">
        <f t="shared" si="1"/>
        <v>6.2350110700000005</v>
      </c>
      <c r="K5" s="79" t="str">
        <f t="shared" si="2"/>
        <v>N/A</v>
      </c>
      <c r="L5" s="80" t="s">
        <v>420</v>
      </c>
      <c r="M5" s="81" t="s">
        <v>421</v>
      </c>
    </row>
    <row r="6" spans="1:13" x14ac:dyDescent="0.3">
      <c r="A6" s="75" t="s">
        <v>134</v>
      </c>
      <c r="B6" s="76"/>
      <c r="C6" s="77" t="s">
        <v>132</v>
      </c>
      <c r="D6" s="83">
        <v>12.207196570000001</v>
      </c>
      <c r="E6" s="84" t="s">
        <v>74</v>
      </c>
      <c r="F6" s="84" t="s">
        <v>74</v>
      </c>
      <c r="G6" s="84" t="s">
        <v>74</v>
      </c>
      <c r="H6" s="84" t="s">
        <v>74</v>
      </c>
      <c r="I6" s="79" t="str">
        <f t="shared" si="0"/>
        <v>N/A</v>
      </c>
      <c r="J6" s="84">
        <f t="shared" si="1"/>
        <v>12.207196570000001</v>
      </c>
      <c r="K6" s="79" t="str">
        <f t="shared" si="2"/>
        <v>N/A</v>
      </c>
      <c r="L6" s="80" t="s">
        <v>420</v>
      </c>
      <c r="M6" s="81" t="s">
        <v>421</v>
      </c>
    </row>
    <row r="7" spans="1:13" x14ac:dyDescent="0.3">
      <c r="A7" s="75" t="s">
        <v>135</v>
      </c>
      <c r="B7" s="76"/>
      <c r="C7" s="82" t="s">
        <v>51</v>
      </c>
      <c r="D7" s="84">
        <v>123.467</v>
      </c>
      <c r="E7" s="84">
        <v>136.822</v>
      </c>
      <c r="F7" s="84">
        <v>134.56800000000001</v>
      </c>
      <c r="G7" s="84">
        <v>138.04499999999999</v>
      </c>
      <c r="H7" s="84">
        <v>150.738</v>
      </c>
      <c r="I7" s="79">
        <f t="shared" si="0"/>
        <v>9.1948277735521167E-2</v>
      </c>
      <c r="J7" s="84">
        <f t="shared" si="1"/>
        <v>136.72799999999998</v>
      </c>
      <c r="K7" s="79">
        <f t="shared" si="2"/>
        <v>0.10246621028611558</v>
      </c>
      <c r="L7" s="80" t="s">
        <v>117</v>
      </c>
      <c r="M7" s="81" t="s">
        <v>118</v>
      </c>
    </row>
    <row r="8" spans="1:13" x14ac:dyDescent="0.3">
      <c r="A8" s="75" t="s">
        <v>136</v>
      </c>
      <c r="B8" s="76"/>
      <c r="C8" s="82" t="s">
        <v>51</v>
      </c>
      <c r="D8" s="84">
        <v>69.896000000000001</v>
      </c>
      <c r="E8" s="84">
        <v>46.707000000000001</v>
      </c>
      <c r="F8" s="84">
        <v>59.908000000000001</v>
      </c>
      <c r="G8" s="84">
        <v>79.456999999999994</v>
      </c>
      <c r="H8" s="84">
        <v>103.17</v>
      </c>
      <c r="I8" s="79">
        <f t="shared" si="0"/>
        <v>0.29843814893590248</v>
      </c>
      <c r="J8" s="84">
        <f t="shared" si="1"/>
        <v>71.827600000000004</v>
      </c>
      <c r="K8" s="79">
        <f t="shared" si="2"/>
        <v>0.43635594117024645</v>
      </c>
      <c r="L8" s="80" t="s">
        <v>117</v>
      </c>
      <c r="M8" s="81" t="s">
        <v>118</v>
      </c>
    </row>
    <row r="9" spans="1:13" x14ac:dyDescent="0.3">
      <c r="A9" s="75" t="s">
        <v>392</v>
      </c>
      <c r="B9" s="76"/>
      <c r="C9" s="77" t="s">
        <v>124</v>
      </c>
      <c r="D9" s="84">
        <v>776.46587860958402</v>
      </c>
      <c r="E9" s="84">
        <v>860.25317326578204</v>
      </c>
      <c r="F9" s="84">
        <v>729.59111910111199</v>
      </c>
      <c r="G9" s="84">
        <v>577.90973801922701</v>
      </c>
      <c r="H9" s="84">
        <v>827.44703698491605</v>
      </c>
      <c r="I9" s="79">
        <f t="shared" si="0"/>
        <v>0.43179286063074951</v>
      </c>
      <c r="J9" s="84">
        <f t="shared" si="1"/>
        <v>754.33338919612413</v>
      </c>
      <c r="K9" s="79">
        <f t="shared" si="2"/>
        <v>9.6924846276137178E-2</v>
      </c>
      <c r="L9" s="80" t="s">
        <v>414</v>
      </c>
      <c r="M9" s="95" t="s">
        <v>415</v>
      </c>
    </row>
    <row r="10" spans="1:13" x14ac:dyDescent="0.3">
      <c r="A10" s="75" t="s">
        <v>393</v>
      </c>
      <c r="B10" s="76"/>
      <c r="C10" s="77" t="s">
        <v>124</v>
      </c>
      <c r="D10" s="84">
        <v>626.23569206515799</v>
      </c>
      <c r="E10" s="84">
        <v>615.19316922227404</v>
      </c>
      <c r="F10" s="84">
        <v>416.313697236324</v>
      </c>
      <c r="G10" s="84">
        <v>247.45750252222999</v>
      </c>
      <c r="H10" s="84">
        <v>429.10215649604203</v>
      </c>
      <c r="I10" s="79">
        <f t="shared" si="0"/>
        <v>0.73404383428420905</v>
      </c>
      <c r="J10" s="84">
        <f t="shared" si="1"/>
        <v>466.86044350840564</v>
      </c>
      <c r="K10" s="79">
        <f t="shared" si="2"/>
        <v>-8.0877031964015189E-2</v>
      </c>
      <c r="L10" s="80" t="s">
        <v>414</v>
      </c>
      <c r="M10" s="95" t="s">
        <v>415</v>
      </c>
    </row>
    <row r="11" spans="1:13" x14ac:dyDescent="0.3">
      <c r="A11" s="146" t="s">
        <v>56</v>
      </c>
      <c r="B11" s="85" t="s">
        <v>57</v>
      </c>
      <c r="C11" s="77" t="s">
        <v>45</v>
      </c>
      <c r="D11" s="78">
        <v>1051.4326000000001</v>
      </c>
      <c r="E11" s="78">
        <v>1352.3337180000001</v>
      </c>
      <c r="F11" s="78">
        <v>1326.5238730000001</v>
      </c>
      <c r="G11" s="78">
        <v>1214.5488479999999</v>
      </c>
      <c r="H11" s="78">
        <v>1420.7409270000001</v>
      </c>
      <c r="I11" s="79">
        <f t="shared" si="0"/>
        <v>0.16976845298526855</v>
      </c>
      <c r="J11" s="78">
        <f t="shared" si="1"/>
        <v>1273.1159932</v>
      </c>
      <c r="K11" s="79">
        <f t="shared" si="2"/>
        <v>0.11595560387937787</v>
      </c>
      <c r="L11" s="76" t="s">
        <v>58</v>
      </c>
      <c r="M11" s="92" t="s">
        <v>59</v>
      </c>
    </row>
    <row r="12" spans="1:13" x14ac:dyDescent="0.3">
      <c r="A12" s="146"/>
      <c r="B12" s="78" t="s">
        <v>426</v>
      </c>
      <c r="C12" s="77" t="s">
        <v>45</v>
      </c>
      <c r="D12" s="78">
        <v>454.601159</v>
      </c>
      <c r="E12" s="78">
        <v>514.72879</v>
      </c>
      <c r="F12" s="78">
        <v>581.49579600000004</v>
      </c>
      <c r="G12" s="78">
        <v>431.41755599999999</v>
      </c>
      <c r="H12" s="78">
        <v>447.86511100000001</v>
      </c>
      <c r="I12" s="79">
        <f t="shared" si="0"/>
        <v>3.8124445264809736E-2</v>
      </c>
      <c r="J12" s="78">
        <f t="shared" si="1"/>
        <v>486.02168240000003</v>
      </c>
      <c r="K12" s="79">
        <f t="shared" si="2"/>
        <v>-7.8507961232471946E-2</v>
      </c>
      <c r="L12" s="76" t="s">
        <v>58</v>
      </c>
      <c r="M12" s="92" t="s">
        <v>59</v>
      </c>
    </row>
    <row r="13" spans="1:13" x14ac:dyDescent="0.3">
      <c r="A13" s="146"/>
      <c r="B13" s="78" t="s">
        <v>441</v>
      </c>
      <c r="C13" s="77" t="s">
        <v>45</v>
      </c>
      <c r="D13" s="78">
        <v>260.49198999999999</v>
      </c>
      <c r="E13" s="78">
        <v>348.40489500000001</v>
      </c>
      <c r="F13" s="78">
        <v>316.817634</v>
      </c>
      <c r="G13" s="78">
        <v>349.41528</v>
      </c>
      <c r="H13" s="78">
        <v>379.21523100000002</v>
      </c>
      <c r="I13" s="79">
        <f t="shared" si="0"/>
        <v>8.5285197029735027E-2</v>
      </c>
      <c r="J13" s="78">
        <f t="shared" si="1"/>
        <v>330.86900600000001</v>
      </c>
      <c r="K13" s="79">
        <f t="shared" si="2"/>
        <v>0.14611892961651418</v>
      </c>
      <c r="L13" s="76" t="s">
        <v>58</v>
      </c>
      <c r="M13" s="92" t="s">
        <v>59</v>
      </c>
    </row>
    <row r="14" spans="1:13" x14ac:dyDescent="0.3">
      <c r="A14" s="146"/>
      <c r="B14" s="78" t="s">
        <v>444</v>
      </c>
      <c r="C14" s="77" t="s">
        <v>45</v>
      </c>
      <c r="D14" s="78">
        <v>71.502419000000003</v>
      </c>
      <c r="E14" s="78">
        <v>85.743803999999997</v>
      </c>
      <c r="F14" s="78">
        <v>113.656991</v>
      </c>
      <c r="G14" s="78">
        <v>55.314833</v>
      </c>
      <c r="H14" s="78">
        <v>67.927610999999999</v>
      </c>
      <c r="I14" s="79">
        <f t="shared" si="0"/>
        <v>0.2280180073941469</v>
      </c>
      <c r="J14" s="78">
        <f t="shared" si="1"/>
        <v>78.829131600000011</v>
      </c>
      <c r="K14" s="79">
        <f t="shared" si="2"/>
        <v>-0.13829304444602064</v>
      </c>
      <c r="L14" s="76" t="s">
        <v>58</v>
      </c>
      <c r="M14" s="92" t="s">
        <v>59</v>
      </c>
    </row>
    <row r="15" spans="1:13" x14ac:dyDescent="0.3">
      <c r="A15" s="75" t="s">
        <v>60</v>
      </c>
      <c r="B15" s="85" t="s">
        <v>57</v>
      </c>
      <c r="C15" s="77" t="s">
        <v>45</v>
      </c>
      <c r="D15" s="78">
        <v>3.1704763499999995</v>
      </c>
      <c r="E15" s="78">
        <v>2.5932112799999998</v>
      </c>
      <c r="F15" s="78">
        <v>2.3239632700000001</v>
      </c>
      <c r="G15" s="78">
        <v>2.1651528999999998</v>
      </c>
      <c r="H15" s="78">
        <v>0.70418135999999998</v>
      </c>
      <c r="I15" s="79">
        <f t="shared" si="0"/>
        <v>-0.6747659899677293</v>
      </c>
      <c r="J15" s="78">
        <f t="shared" si="1"/>
        <v>2.1913970319999998</v>
      </c>
      <c r="K15" s="79">
        <f t="shared" si="2"/>
        <v>-0.67866098670521513</v>
      </c>
      <c r="L15" s="76" t="s">
        <v>58</v>
      </c>
      <c r="M15" s="92" t="s">
        <v>59</v>
      </c>
    </row>
    <row r="16" spans="1:13" x14ac:dyDescent="0.3">
      <c r="A16" s="86" t="s">
        <v>61</v>
      </c>
      <c r="B16" s="87" t="s">
        <v>57</v>
      </c>
      <c r="C16" s="88" t="s">
        <v>45</v>
      </c>
      <c r="D16" s="78">
        <f>+D11-D15</f>
        <v>1048.2621236500001</v>
      </c>
      <c r="E16" s="78">
        <f t="shared" ref="E16:H16" si="3">+E11-E15</f>
        <v>1349.74050672</v>
      </c>
      <c r="F16" s="78">
        <f t="shared" si="3"/>
        <v>1324.1999097300002</v>
      </c>
      <c r="G16" s="78">
        <f t="shared" si="3"/>
        <v>1212.3836950999998</v>
      </c>
      <c r="H16" s="78">
        <f t="shared" si="3"/>
        <v>1420.0367456400002</v>
      </c>
      <c r="I16" s="79">
        <f t="shared" si="0"/>
        <v>0.17127667699529114</v>
      </c>
      <c r="J16" s="78">
        <f t="shared" si="1"/>
        <v>1270.9245961680001</v>
      </c>
      <c r="K16" s="79">
        <f t="shared" si="2"/>
        <v>0.11732572484755766</v>
      </c>
      <c r="L16" s="76" t="s">
        <v>58</v>
      </c>
      <c r="M16" s="92" t="s">
        <v>59</v>
      </c>
    </row>
    <row r="17" spans="1:1" x14ac:dyDescent="0.3">
      <c r="A17" s="13" t="s">
        <v>127</v>
      </c>
    </row>
    <row r="18" spans="1:1" x14ac:dyDescent="0.3">
      <c r="A18" s="13" t="s">
        <v>128</v>
      </c>
    </row>
  </sheetData>
  <mergeCells count="1">
    <mergeCell ref="A11:A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8CD-6820-4CCF-87A9-7AD301B3BDFA}">
  <sheetPr codeName="Sheet14"/>
  <dimension ref="A1:M13"/>
  <sheetViews>
    <sheetView workbookViewId="0"/>
  </sheetViews>
  <sheetFormatPr defaultRowHeight="14.4" x14ac:dyDescent="0.3"/>
  <cols>
    <col min="1" max="1" width="35" bestFit="1" customWidth="1"/>
  </cols>
  <sheetData>
    <row r="1" spans="1:13" x14ac:dyDescent="0.3">
      <c r="A1" s="111" t="s">
        <v>137</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75" t="s">
        <v>138</v>
      </c>
      <c r="B3" s="76"/>
      <c r="C3" s="77" t="s">
        <v>45</v>
      </c>
      <c r="D3" s="78">
        <v>7.6492673799999995</v>
      </c>
      <c r="E3" s="78">
        <v>7.7224672587394281</v>
      </c>
      <c r="F3" s="78">
        <v>10.89157</v>
      </c>
      <c r="G3" s="78">
        <v>30.893643677810626</v>
      </c>
      <c r="H3" s="78">
        <v>49.069349460530212</v>
      </c>
      <c r="I3" s="79">
        <f t="shared" ref="I3:I11" si="0">IF(ISBLANK(H3),"N/A",IF(ISNA(H3/G3-1),"N/A",IF(ISERROR(H3/G3-1),"N/A",H3/G3-1)))</f>
        <v>0.58833156659258989</v>
      </c>
      <c r="J3" s="78">
        <f t="shared" ref="J3:J11" si="1">IF(ISBLANK(H3),"",IF(ISNA(AVERAGE(D3:H3)),"N/A",IF(ISERROR(AVERAGE(D3:H3)),"N/A",AVERAGE(D3:H3))))</f>
        <v>21.245259555416055</v>
      </c>
      <c r="K3" s="79">
        <f t="shared" ref="K3:K11" si="2">IF(ISBLANK(H3),"",IF(ISNA(H3/AVERAGE(D3:H3)-1),"N/A",IF(ISERROR(H3/AVERAGE(D3:H3)-1),"N/A",H3/AVERAGE(D3:H3)-1)))</f>
        <v>1.3096610955746577</v>
      </c>
      <c r="L3" s="76" t="s">
        <v>413</v>
      </c>
      <c r="M3" s="92" t="s">
        <v>412</v>
      </c>
    </row>
    <row r="4" spans="1:13" x14ac:dyDescent="0.3">
      <c r="A4" s="75" t="s">
        <v>139</v>
      </c>
      <c r="B4" s="76"/>
      <c r="C4" s="82" t="s">
        <v>140</v>
      </c>
      <c r="D4" s="98">
        <v>339</v>
      </c>
      <c r="E4" s="98">
        <v>477</v>
      </c>
      <c r="F4" s="98">
        <v>2524</v>
      </c>
      <c r="G4" s="98">
        <v>10983</v>
      </c>
      <c r="H4" s="98">
        <v>14388</v>
      </c>
      <c r="I4" s="79">
        <f t="shared" si="0"/>
        <v>0.31002458344714556</v>
      </c>
      <c r="J4" s="98">
        <f t="shared" si="1"/>
        <v>5742.2</v>
      </c>
      <c r="K4" s="79">
        <f t="shared" si="2"/>
        <v>1.505659851624813</v>
      </c>
      <c r="L4" s="80" t="s">
        <v>418</v>
      </c>
      <c r="M4" s="81" t="s">
        <v>419</v>
      </c>
    </row>
    <row r="5" spans="1:13" x14ac:dyDescent="0.3">
      <c r="A5" s="75" t="s">
        <v>141</v>
      </c>
      <c r="B5" s="76"/>
      <c r="C5" s="77" t="s">
        <v>124</v>
      </c>
      <c r="D5" s="98">
        <v>814.78260869565202</v>
      </c>
      <c r="E5" s="98">
        <v>902.375</v>
      </c>
      <c r="F5" s="98">
        <v>493.416666666666</v>
      </c>
      <c r="G5" s="98">
        <v>221.625</v>
      </c>
      <c r="H5" s="98">
        <v>293.54545454545399</v>
      </c>
      <c r="I5" s="79">
        <f t="shared" si="0"/>
        <v>0.32451417730605292</v>
      </c>
      <c r="J5" s="98">
        <f>IF(ISBLANK(H5),"",IF(ISNA(AVERAGE(D5:H5)),"N/A",IF(ISERROR(AVERAGE(D5:H5)),"N/A",AVERAGE(D5:H5))))</f>
        <v>545.14894598155445</v>
      </c>
      <c r="K5" s="79">
        <f t="shared" si="2"/>
        <v>-0.46153164798490443</v>
      </c>
      <c r="L5" s="80" t="s">
        <v>414</v>
      </c>
      <c r="M5" s="95" t="s">
        <v>415</v>
      </c>
    </row>
    <row r="6" spans="1:13" x14ac:dyDescent="0.3">
      <c r="A6" s="146" t="s">
        <v>56</v>
      </c>
      <c r="B6" s="85" t="s">
        <v>57</v>
      </c>
      <c r="C6" s="77" t="s">
        <v>45</v>
      </c>
      <c r="D6" s="78">
        <v>3.1523319999999999</v>
      </c>
      <c r="E6" s="78">
        <v>5.0812470000000003</v>
      </c>
      <c r="F6" s="78">
        <v>11.009693</v>
      </c>
      <c r="G6" s="78">
        <v>64.624077</v>
      </c>
      <c r="H6" s="78">
        <v>63.867736000000001</v>
      </c>
      <c r="I6" s="79">
        <f t="shared" si="0"/>
        <v>-1.1703702940314309E-2</v>
      </c>
      <c r="J6" s="78">
        <f t="shared" si="1"/>
        <v>29.547017</v>
      </c>
      <c r="K6" s="79">
        <f t="shared" si="2"/>
        <v>1.1615629083639814</v>
      </c>
      <c r="L6" s="76" t="s">
        <v>58</v>
      </c>
      <c r="M6" s="92" t="s">
        <v>59</v>
      </c>
    </row>
    <row r="7" spans="1:13" x14ac:dyDescent="0.3">
      <c r="A7" s="146"/>
      <c r="B7" s="78" t="s">
        <v>441</v>
      </c>
      <c r="C7" s="77" t="s">
        <v>45</v>
      </c>
      <c r="D7" s="78">
        <v>1.340225</v>
      </c>
      <c r="E7" s="78">
        <v>3.5448569999999999</v>
      </c>
      <c r="F7" s="78">
        <v>3.6801499999999998</v>
      </c>
      <c r="G7" s="78">
        <v>51.998027</v>
      </c>
      <c r="H7" s="78">
        <v>53.603883000000003</v>
      </c>
      <c r="I7" s="79">
        <f t="shared" si="0"/>
        <v>3.0883017926814915E-2</v>
      </c>
      <c r="J7" s="78">
        <f t="shared" si="1"/>
        <v>22.833428400000003</v>
      </c>
      <c r="K7" s="79">
        <f t="shared" si="2"/>
        <v>1.3476055396043809</v>
      </c>
      <c r="L7" s="76" t="s">
        <v>58</v>
      </c>
      <c r="M7" s="92" t="s">
        <v>59</v>
      </c>
    </row>
    <row r="8" spans="1:13" x14ac:dyDescent="0.3">
      <c r="A8" s="146"/>
      <c r="B8" s="78" t="s">
        <v>445</v>
      </c>
      <c r="C8" s="77" t="s">
        <v>45</v>
      </c>
      <c r="D8" s="78">
        <v>0</v>
      </c>
      <c r="E8" s="78">
        <v>0.34047500000000003</v>
      </c>
      <c r="F8" s="78">
        <v>1.854012</v>
      </c>
      <c r="G8" s="78">
        <v>5.2676850000000002</v>
      </c>
      <c r="H8" s="78">
        <v>3.2404850000000001</v>
      </c>
      <c r="I8" s="79">
        <f t="shared" si="0"/>
        <v>-0.3848369824695288</v>
      </c>
      <c r="J8" s="78">
        <f t="shared" si="1"/>
        <v>2.1405314</v>
      </c>
      <c r="K8" s="79">
        <f t="shared" si="2"/>
        <v>0.51386940644738965</v>
      </c>
      <c r="L8" s="76" t="s">
        <v>58</v>
      </c>
      <c r="M8" s="92" t="s">
        <v>59</v>
      </c>
    </row>
    <row r="9" spans="1:13" x14ac:dyDescent="0.3">
      <c r="A9" s="146"/>
      <c r="B9" s="78" t="s">
        <v>444</v>
      </c>
      <c r="C9" s="77" t="s">
        <v>45</v>
      </c>
      <c r="D9" s="78">
        <v>0.27759600000000001</v>
      </c>
      <c r="E9" s="78">
        <v>0.271063</v>
      </c>
      <c r="F9" s="78">
        <v>3.4305460000000001</v>
      </c>
      <c r="G9" s="78">
        <v>1.4936160000000001</v>
      </c>
      <c r="H9" s="78">
        <v>0.97529600000000005</v>
      </c>
      <c r="I9" s="79">
        <f t="shared" si="0"/>
        <v>-0.34702359910445524</v>
      </c>
      <c r="J9" s="78">
        <f t="shared" si="1"/>
        <v>1.2896234000000002</v>
      </c>
      <c r="K9" s="79">
        <f t="shared" si="2"/>
        <v>-0.24373580690300756</v>
      </c>
      <c r="L9" s="76" t="s">
        <v>58</v>
      </c>
      <c r="M9" s="92" t="s">
        <v>59</v>
      </c>
    </row>
    <row r="10" spans="1:13" x14ac:dyDescent="0.3">
      <c r="A10" s="75" t="s">
        <v>60</v>
      </c>
      <c r="B10" s="85" t="s">
        <v>57</v>
      </c>
      <c r="C10" s="77" t="s">
        <v>45</v>
      </c>
      <c r="D10" s="78">
        <v>0</v>
      </c>
      <c r="E10" s="78">
        <v>0</v>
      </c>
      <c r="F10" s="78">
        <v>0</v>
      </c>
      <c r="G10" s="78">
        <v>0</v>
      </c>
      <c r="H10" s="78">
        <v>0</v>
      </c>
      <c r="I10" s="79" t="str">
        <f t="shared" si="0"/>
        <v>N/A</v>
      </c>
      <c r="J10" s="78">
        <f t="shared" si="1"/>
        <v>0</v>
      </c>
      <c r="K10" s="79" t="str">
        <f t="shared" si="2"/>
        <v>N/A</v>
      </c>
      <c r="L10" s="76" t="s">
        <v>58</v>
      </c>
      <c r="M10" s="92" t="s">
        <v>59</v>
      </c>
    </row>
    <row r="11" spans="1:13" x14ac:dyDescent="0.3">
      <c r="A11" s="86" t="s">
        <v>61</v>
      </c>
      <c r="B11" s="87" t="s">
        <v>57</v>
      </c>
      <c r="C11" s="88" t="s">
        <v>45</v>
      </c>
      <c r="D11" s="78">
        <f>+D6-D10</f>
        <v>3.1523319999999999</v>
      </c>
      <c r="E11" s="78">
        <f t="shared" ref="E11:H11" si="3">+E6-E10</f>
        <v>5.0812470000000003</v>
      </c>
      <c r="F11" s="78">
        <f t="shared" si="3"/>
        <v>11.009693</v>
      </c>
      <c r="G11" s="78">
        <f t="shared" si="3"/>
        <v>64.624077</v>
      </c>
      <c r="H11" s="78">
        <f t="shared" si="3"/>
        <v>63.867736000000001</v>
      </c>
      <c r="I11" s="79">
        <f t="shared" si="0"/>
        <v>-1.1703702940314309E-2</v>
      </c>
      <c r="J11" s="78">
        <f t="shared" si="1"/>
        <v>29.547017</v>
      </c>
      <c r="K11" s="79">
        <f t="shared" si="2"/>
        <v>1.1615629083639814</v>
      </c>
      <c r="L11" s="76" t="s">
        <v>58</v>
      </c>
      <c r="M11" s="92" t="s">
        <v>59</v>
      </c>
    </row>
    <row r="12" spans="1:13" x14ac:dyDescent="0.3">
      <c r="A12" s="13" t="s">
        <v>62</v>
      </c>
    </row>
    <row r="13" spans="1:13" x14ac:dyDescent="0.3">
      <c r="A13" s="13" t="s">
        <v>63</v>
      </c>
    </row>
  </sheetData>
  <mergeCells count="1">
    <mergeCell ref="A6:A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CF9C-C142-4E6A-8E38-F36E7BC092C0}">
  <sheetPr codeName="Sheet15"/>
  <dimension ref="A1:M15"/>
  <sheetViews>
    <sheetView workbookViewId="0"/>
  </sheetViews>
  <sheetFormatPr defaultRowHeight="14.4" x14ac:dyDescent="0.3"/>
  <cols>
    <col min="1" max="1" width="20.33203125" bestFit="1" customWidth="1"/>
    <col min="2" max="2" width="16.44140625" bestFit="1" customWidth="1"/>
    <col min="3" max="3" width="10" bestFit="1" customWidth="1"/>
  </cols>
  <sheetData>
    <row r="1" spans="1:13" x14ac:dyDescent="0.3">
      <c r="A1" s="111" t="s">
        <v>22</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251.78309056000001</v>
      </c>
      <c r="E3" s="78">
        <v>229.60424208033197</v>
      </c>
      <c r="F3" s="78">
        <v>224.649158</v>
      </c>
      <c r="G3" s="78">
        <v>267.86319350000002</v>
      </c>
      <c r="H3" s="78">
        <v>300.07899129999998</v>
      </c>
      <c r="I3" s="90">
        <f t="shared" ref="I3:I12" si="0">IF(ISBLANK(H3),"N/A",IF(ISNA(H3/G3-1),"N/A",IF(ISERROR(H3/G3-1),"N/A",H3/G3-1)))</f>
        <v>0.12026959500876688</v>
      </c>
      <c r="J3" s="78">
        <f t="shared" ref="J3:J12" si="1">IF(ISBLANK(H3),"",IF(ISNA(AVERAGE(D3:H3)),"N/A",IF(ISERROR(AVERAGE(D3:H3)),"N/A",AVERAGE(D3:H3))))</f>
        <v>254.79573508806644</v>
      </c>
      <c r="K3" s="90">
        <f t="shared" ref="K3:K12" si="2">IF(ISBLANK(H3),"",IF(ISNA(H3/AVERAGE(D3:H3)-1),"N/A",IF(ISERROR(H3/AVERAGE(D3:H3)-1),"N/A",H3/AVERAGE(D3:H3)-1)))</f>
        <v>0.17772376054992467</v>
      </c>
      <c r="L3" s="80" t="s">
        <v>375</v>
      </c>
      <c r="M3" s="81" t="s">
        <v>390</v>
      </c>
    </row>
    <row r="4" spans="1:13" x14ac:dyDescent="0.3">
      <c r="A4" s="93" t="s">
        <v>142</v>
      </c>
      <c r="B4" s="76"/>
      <c r="C4" s="94" t="s">
        <v>113</v>
      </c>
      <c r="D4" s="84">
        <v>435.38722999999999</v>
      </c>
      <c r="E4" s="84">
        <v>543.33548999999994</v>
      </c>
      <c r="F4" s="134" t="s">
        <v>74</v>
      </c>
      <c r="G4" s="134" t="s">
        <v>74</v>
      </c>
      <c r="H4" s="134" t="s">
        <v>74</v>
      </c>
      <c r="I4" s="90" t="str">
        <f t="shared" si="0"/>
        <v>N/A</v>
      </c>
      <c r="J4" s="134">
        <f t="shared" si="1"/>
        <v>489.36135999999999</v>
      </c>
      <c r="K4" s="90" t="str">
        <f t="shared" si="2"/>
        <v>N/A</v>
      </c>
      <c r="L4" s="80" t="s">
        <v>420</v>
      </c>
      <c r="M4" s="81" t="s">
        <v>421</v>
      </c>
    </row>
    <row r="5" spans="1:13" x14ac:dyDescent="0.3">
      <c r="A5" s="93" t="s">
        <v>143</v>
      </c>
      <c r="B5" s="76"/>
      <c r="C5" s="94" t="s">
        <v>51</v>
      </c>
      <c r="D5" s="83">
        <v>64.649000000000001</v>
      </c>
      <c r="E5" s="83">
        <v>61.643999999999998</v>
      </c>
      <c r="F5" s="83">
        <v>64.846000000000004</v>
      </c>
      <c r="G5" s="83">
        <v>63.682000000000002</v>
      </c>
      <c r="H5" s="83">
        <v>65.171000000000006</v>
      </c>
      <c r="I5" s="90">
        <f t="shared" si="0"/>
        <v>2.338180333532236E-2</v>
      </c>
      <c r="J5" s="83">
        <f t="shared" si="1"/>
        <v>63.998400000000004</v>
      </c>
      <c r="K5" s="90">
        <f t="shared" si="2"/>
        <v>1.8322333058326423E-2</v>
      </c>
      <c r="L5" s="80" t="s">
        <v>375</v>
      </c>
      <c r="M5" s="81" t="s">
        <v>390</v>
      </c>
    </row>
    <row r="6" spans="1:13" x14ac:dyDescent="0.3">
      <c r="A6" s="93" t="s">
        <v>144</v>
      </c>
      <c r="B6" s="76"/>
      <c r="C6" s="92" t="s">
        <v>145</v>
      </c>
      <c r="D6" s="98">
        <v>360.11200000000002</v>
      </c>
      <c r="E6" s="98">
        <v>356.83800000000002</v>
      </c>
      <c r="F6" s="98">
        <v>369.02300000000002</v>
      </c>
      <c r="G6" s="98">
        <v>391.46699999999998</v>
      </c>
      <c r="H6" s="98">
        <v>425.97500000000002</v>
      </c>
      <c r="I6" s="90">
        <f t="shared" si="0"/>
        <v>8.8150469899123118E-2</v>
      </c>
      <c r="J6" s="98">
        <f t="shared" si="1"/>
        <v>380.68299999999999</v>
      </c>
      <c r="K6" s="90">
        <f t="shared" si="2"/>
        <v>0.11897563064281846</v>
      </c>
      <c r="L6" s="99" t="s">
        <v>369</v>
      </c>
      <c r="M6" s="92" t="s">
        <v>368</v>
      </c>
    </row>
    <row r="7" spans="1:13" x14ac:dyDescent="0.3">
      <c r="A7" s="144" t="s">
        <v>56</v>
      </c>
      <c r="B7" s="85" t="s">
        <v>57</v>
      </c>
      <c r="C7" s="92" t="s">
        <v>45</v>
      </c>
      <c r="D7" s="78">
        <v>21.528462000000001</v>
      </c>
      <c r="E7" s="78">
        <v>20.642503999999999</v>
      </c>
      <c r="F7" s="78">
        <v>19.870729999999998</v>
      </c>
      <c r="G7" s="78">
        <v>29.706719</v>
      </c>
      <c r="H7" s="78">
        <v>29.892875</v>
      </c>
      <c r="I7" s="90">
        <f t="shared" si="0"/>
        <v>6.2664611329175113E-3</v>
      </c>
      <c r="J7" s="78">
        <f t="shared" si="1"/>
        <v>24.328257999999998</v>
      </c>
      <c r="K7" s="90">
        <f t="shared" si="2"/>
        <v>0.22873059797376372</v>
      </c>
      <c r="L7" s="76" t="s">
        <v>58</v>
      </c>
      <c r="M7" s="92" t="s">
        <v>59</v>
      </c>
    </row>
    <row r="8" spans="1:13" x14ac:dyDescent="0.3">
      <c r="A8" s="144"/>
      <c r="B8" s="78" t="s">
        <v>438</v>
      </c>
      <c r="C8" s="92" t="s">
        <v>45</v>
      </c>
      <c r="D8" s="78">
        <v>8.8282710000000009</v>
      </c>
      <c r="E8" s="78">
        <v>6.5103749999999998</v>
      </c>
      <c r="F8" s="78">
        <v>4.9084099999999999</v>
      </c>
      <c r="G8" s="78">
        <v>13.180961999999999</v>
      </c>
      <c r="H8" s="78">
        <v>13.354899</v>
      </c>
      <c r="I8" s="90">
        <f t="shared" si="0"/>
        <v>1.3196077797660077E-2</v>
      </c>
      <c r="J8" s="78">
        <f t="shared" si="1"/>
        <v>9.3565833999999999</v>
      </c>
      <c r="K8" s="90">
        <f t="shared" si="2"/>
        <v>0.42732645337185793</v>
      </c>
      <c r="L8" s="76" t="s">
        <v>58</v>
      </c>
      <c r="M8" s="92" t="s">
        <v>59</v>
      </c>
    </row>
    <row r="9" spans="1:13" x14ac:dyDescent="0.3">
      <c r="A9" s="144"/>
      <c r="B9" s="78" t="s">
        <v>439</v>
      </c>
      <c r="C9" s="92" t="s">
        <v>45</v>
      </c>
      <c r="D9" s="78">
        <v>2.1187659999999999</v>
      </c>
      <c r="E9" s="78">
        <v>3.086643</v>
      </c>
      <c r="F9" s="78">
        <v>2.6752989999999999</v>
      </c>
      <c r="G9" s="78">
        <v>5.7806430000000004</v>
      </c>
      <c r="H9" s="78">
        <v>5.1260310000000002</v>
      </c>
      <c r="I9" s="90">
        <f t="shared" si="0"/>
        <v>-0.11324207358939142</v>
      </c>
      <c r="J9" s="78">
        <f t="shared" si="1"/>
        <v>3.7574764000000003</v>
      </c>
      <c r="K9" s="90">
        <f t="shared" si="2"/>
        <v>0.36422174201812685</v>
      </c>
      <c r="L9" s="76" t="s">
        <v>58</v>
      </c>
      <c r="M9" s="92" t="s">
        <v>59</v>
      </c>
    </row>
    <row r="10" spans="1:13" x14ac:dyDescent="0.3">
      <c r="A10" s="144"/>
      <c r="B10" s="78" t="s">
        <v>437</v>
      </c>
      <c r="C10" s="92" t="s">
        <v>45</v>
      </c>
      <c r="D10" s="78">
        <v>2.9607510000000001</v>
      </c>
      <c r="E10" s="78">
        <v>3.7111499999999999</v>
      </c>
      <c r="F10" s="78">
        <v>3.8666909999999999</v>
      </c>
      <c r="G10" s="78">
        <v>3.4142749999999999</v>
      </c>
      <c r="H10" s="78">
        <v>4.3453270000000002</v>
      </c>
      <c r="I10" s="90">
        <f t="shared" si="0"/>
        <v>0.27269391012733313</v>
      </c>
      <c r="J10" s="78">
        <f t="shared" si="1"/>
        <v>3.6596387999999997</v>
      </c>
      <c r="K10" s="90">
        <f t="shared" si="2"/>
        <v>0.18736499350700964</v>
      </c>
      <c r="L10" s="76" t="s">
        <v>58</v>
      </c>
      <c r="M10" s="92" t="s">
        <v>59</v>
      </c>
    </row>
    <row r="11" spans="1:13" x14ac:dyDescent="0.3">
      <c r="A11" s="93" t="s">
        <v>60</v>
      </c>
      <c r="B11" s="85" t="s">
        <v>57</v>
      </c>
      <c r="C11" s="92" t="s">
        <v>45</v>
      </c>
      <c r="D11" s="78">
        <v>174.49798494999999</v>
      </c>
      <c r="E11" s="78">
        <v>220.01334068</v>
      </c>
      <c r="F11" s="78">
        <v>234.84250713999998</v>
      </c>
      <c r="G11" s="78">
        <v>262.78722605000002</v>
      </c>
      <c r="H11" s="78">
        <v>302.79260973999999</v>
      </c>
      <c r="I11" s="90">
        <f t="shared" si="0"/>
        <v>0.15223488710363808</v>
      </c>
      <c r="J11" s="78">
        <f t="shared" si="1"/>
        <v>238.98673371199999</v>
      </c>
      <c r="K11" s="90">
        <f t="shared" si="2"/>
        <v>0.26698501225131466</v>
      </c>
      <c r="L11" s="76" t="s">
        <v>58</v>
      </c>
      <c r="M11" s="92" t="s">
        <v>59</v>
      </c>
    </row>
    <row r="12" spans="1:13" x14ac:dyDescent="0.3">
      <c r="A12" s="93" t="s">
        <v>61</v>
      </c>
      <c r="B12" s="85" t="s">
        <v>57</v>
      </c>
      <c r="C12" s="92" t="s">
        <v>45</v>
      </c>
      <c r="D12" s="78">
        <f>+D7-D11</f>
        <v>-152.96952295</v>
      </c>
      <c r="E12" s="78">
        <f t="shared" ref="E12:H12" si="3">+E7-E11</f>
        <v>-199.37083668</v>
      </c>
      <c r="F12" s="78">
        <f t="shared" si="3"/>
        <v>-214.97177713999997</v>
      </c>
      <c r="G12" s="78">
        <f t="shared" si="3"/>
        <v>-233.08050705000002</v>
      </c>
      <c r="H12" s="78">
        <f t="shared" si="3"/>
        <v>-272.89973473999999</v>
      </c>
      <c r="I12" s="90">
        <f t="shared" si="0"/>
        <v>0.17083894399396526</v>
      </c>
      <c r="J12" s="78">
        <f t="shared" si="1"/>
        <v>-214.65847571200001</v>
      </c>
      <c r="K12" s="90">
        <f t="shared" si="2"/>
        <v>0.27132056553937467</v>
      </c>
      <c r="L12" s="76" t="s">
        <v>58</v>
      </c>
      <c r="M12" s="92" t="s">
        <v>59</v>
      </c>
    </row>
    <row r="13" spans="1:13" x14ac:dyDescent="0.3">
      <c r="A13" s="13" t="s">
        <v>62</v>
      </c>
      <c r="B13" s="13"/>
      <c r="C13" s="13"/>
      <c r="D13" s="13"/>
      <c r="E13" s="13"/>
      <c r="F13" s="13"/>
      <c r="G13" s="13"/>
      <c r="H13" s="13"/>
      <c r="I13" s="13"/>
      <c r="J13" s="13"/>
      <c r="K13" s="13"/>
      <c r="L13" s="13"/>
      <c r="M13" s="13"/>
    </row>
    <row r="14" spans="1:13" x14ac:dyDescent="0.3">
      <c r="A14" s="13" t="s">
        <v>63</v>
      </c>
      <c r="B14" s="13"/>
      <c r="C14" s="13"/>
      <c r="D14" s="13"/>
      <c r="E14" s="13"/>
      <c r="F14" s="13"/>
      <c r="G14" s="13"/>
      <c r="H14" s="13"/>
      <c r="I14" s="13"/>
      <c r="J14" s="13"/>
      <c r="K14" s="13"/>
      <c r="L14" s="13"/>
      <c r="M14" s="13"/>
    </row>
    <row r="15" spans="1:13" x14ac:dyDescent="0.3">
      <c r="B15" s="13"/>
      <c r="C15" s="13"/>
      <c r="D15" s="13"/>
      <c r="E15" s="13"/>
      <c r="F15" s="13"/>
      <c r="G15" s="13"/>
      <c r="H15" s="13"/>
      <c r="I15" s="13"/>
      <c r="J15" s="13"/>
      <c r="K15" s="13"/>
      <c r="L15" s="13"/>
      <c r="M15" s="13"/>
    </row>
  </sheetData>
  <mergeCells count="1">
    <mergeCell ref="A7:A10"/>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EC34-E4E5-45ED-A9B3-7C5CF38DC863}">
  <sheetPr codeName="Sheet16"/>
  <dimension ref="A1:M14"/>
  <sheetViews>
    <sheetView workbookViewId="0"/>
  </sheetViews>
  <sheetFormatPr defaultRowHeight="14.4" x14ac:dyDescent="0.3"/>
  <cols>
    <col min="1" max="1" width="20.6640625" customWidth="1"/>
    <col min="2" max="2" width="12.88671875" bestFit="1" customWidth="1"/>
    <col min="3" max="3" width="9.33203125" bestFit="1" customWidth="1"/>
  </cols>
  <sheetData>
    <row r="1" spans="1:13" x14ac:dyDescent="0.3">
      <c r="A1" s="111" t="s">
        <v>23</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85"/>
      <c r="C3" s="92" t="s">
        <v>45</v>
      </c>
      <c r="D3" s="78">
        <v>770.98317228999997</v>
      </c>
      <c r="E3" s="78">
        <v>836.23640279773258</v>
      </c>
      <c r="F3" s="78">
        <v>831.46151599999996</v>
      </c>
      <c r="G3" s="78">
        <v>1045.8609445</v>
      </c>
      <c r="H3" s="78">
        <v>1172.7810720999998</v>
      </c>
      <c r="I3" s="79">
        <f>IF(ISBLANK(H3),"N/A",IF(ISNA(H3/G3-1),"N/A",IF(ISERROR(H3/G3-1),"N/A",H3/G3-1)))</f>
        <v>0.12135468703315744</v>
      </c>
      <c r="J3" s="78">
        <f t="shared" ref="J3:J12" si="0">IF(ISBLANK(H3),"",IF(ISNA(AVERAGE(D3:H3)),"N/A",IF(ISERROR(AVERAGE(D3:H3)),"N/A",AVERAGE(D3:H3))))</f>
        <v>931.46462153754635</v>
      </c>
      <c r="K3" s="79">
        <f t="shared" ref="K3:K12" si="1">IF(ISBLANK(H3),"",IF(ISNA(H3/AVERAGE(D3:H3)-1),"N/A",IF(ISERROR(H3/AVERAGE(D3:H3)-1),"N/A",H3/AVERAGE(D3:H3)-1)))</f>
        <v>0.25907205167290015</v>
      </c>
      <c r="L3" s="80" t="s">
        <v>389</v>
      </c>
      <c r="M3" s="81" t="s">
        <v>390</v>
      </c>
    </row>
    <row r="4" spans="1:13" x14ac:dyDescent="0.3">
      <c r="A4" s="102" t="s">
        <v>146</v>
      </c>
      <c r="B4" s="85"/>
      <c r="C4" s="92" t="s">
        <v>132</v>
      </c>
      <c r="D4" s="83">
        <v>39.149834859999999</v>
      </c>
      <c r="E4" s="134" t="s">
        <v>74</v>
      </c>
      <c r="F4" s="134" t="s">
        <v>74</v>
      </c>
      <c r="G4" s="134" t="s">
        <v>74</v>
      </c>
      <c r="H4" s="134" t="s">
        <v>74</v>
      </c>
      <c r="I4" s="79" t="str">
        <f t="shared" ref="I4:I12" si="2">IF(ISBLANK(H4),"N/A",IF(ISNA(H4/G4-1),"N/A",IF(ISERROR(H4/G4-1),"N/A",H4/G4-1)))</f>
        <v>N/A</v>
      </c>
      <c r="J4" s="134">
        <f t="shared" si="0"/>
        <v>39.149834859999999</v>
      </c>
      <c r="K4" s="79" t="str">
        <f t="shared" si="1"/>
        <v>N/A</v>
      </c>
      <c r="L4" s="80" t="s">
        <v>420</v>
      </c>
      <c r="M4" s="81" t="s">
        <v>421</v>
      </c>
    </row>
    <row r="5" spans="1:13" x14ac:dyDescent="0.3">
      <c r="A5" s="102" t="s">
        <v>147</v>
      </c>
      <c r="B5" s="85"/>
      <c r="C5" s="94" t="s">
        <v>51</v>
      </c>
      <c r="D5" s="83">
        <v>456.375</v>
      </c>
      <c r="E5" s="83">
        <v>486.27300000000002</v>
      </c>
      <c r="F5" s="83">
        <v>495.02300000000002</v>
      </c>
      <c r="G5" s="83">
        <v>536.68600000000004</v>
      </c>
      <c r="H5" s="83">
        <v>596.89400000000001</v>
      </c>
      <c r="I5" s="79">
        <f t="shared" si="2"/>
        <v>0.11218477843655306</v>
      </c>
      <c r="J5" s="83">
        <f t="shared" si="0"/>
        <v>514.25020000000006</v>
      </c>
      <c r="K5" s="79">
        <f t="shared" si="1"/>
        <v>0.16070737551487579</v>
      </c>
      <c r="L5" s="80" t="s">
        <v>117</v>
      </c>
      <c r="M5" s="81" t="s">
        <v>118</v>
      </c>
    </row>
    <row r="6" spans="1:13" x14ac:dyDescent="0.3">
      <c r="A6" s="102" t="s">
        <v>144</v>
      </c>
      <c r="B6" s="85"/>
      <c r="C6" s="92" t="s">
        <v>145</v>
      </c>
      <c r="D6" s="98">
        <v>219.471</v>
      </c>
      <c r="E6" s="98">
        <v>226.16300000000001</v>
      </c>
      <c r="F6" s="98">
        <v>258.42399999999998</v>
      </c>
      <c r="G6" s="98">
        <v>271.375</v>
      </c>
      <c r="H6" s="98">
        <v>261.995</v>
      </c>
      <c r="I6" s="79">
        <f t="shared" si="2"/>
        <v>-3.4564716720405286E-2</v>
      </c>
      <c r="J6" s="98">
        <f t="shared" si="0"/>
        <v>247.48559999999998</v>
      </c>
      <c r="K6" s="79">
        <f t="shared" si="1"/>
        <v>5.8627249423804928E-2</v>
      </c>
      <c r="L6" s="99" t="s">
        <v>369</v>
      </c>
      <c r="M6" s="92" t="s">
        <v>368</v>
      </c>
    </row>
    <row r="7" spans="1:13" x14ac:dyDescent="0.3">
      <c r="A7" s="142" t="s">
        <v>56</v>
      </c>
      <c r="B7" s="85" t="s">
        <v>57</v>
      </c>
      <c r="C7" s="92" t="s">
        <v>45</v>
      </c>
      <c r="D7" s="78">
        <v>12.266144000000001</v>
      </c>
      <c r="E7" s="78">
        <v>19.418253</v>
      </c>
      <c r="F7" s="78">
        <v>25.008717999999998</v>
      </c>
      <c r="G7" s="78">
        <v>21.048725999999998</v>
      </c>
      <c r="H7" s="78">
        <v>14.459725000000001</v>
      </c>
      <c r="I7" s="79">
        <f t="shared" si="2"/>
        <v>-0.3130356203031005</v>
      </c>
      <c r="J7" s="78">
        <f t="shared" si="0"/>
        <v>18.440313199999999</v>
      </c>
      <c r="K7" s="79">
        <f t="shared" si="1"/>
        <v>-0.21586337264596989</v>
      </c>
      <c r="L7" s="76" t="s">
        <v>58</v>
      </c>
      <c r="M7" s="92" t="s">
        <v>59</v>
      </c>
    </row>
    <row r="8" spans="1:13" x14ac:dyDescent="0.3">
      <c r="A8" s="142"/>
      <c r="B8" s="78" t="s">
        <v>446</v>
      </c>
      <c r="C8" s="92" t="s">
        <v>45</v>
      </c>
      <c r="D8" s="78">
        <v>2.0642670000000001</v>
      </c>
      <c r="E8" s="78">
        <v>1.713962</v>
      </c>
      <c r="F8" s="78">
        <v>4.5512569999999997</v>
      </c>
      <c r="G8" s="78">
        <v>2.629041</v>
      </c>
      <c r="H8" s="78">
        <v>2.812338</v>
      </c>
      <c r="I8" s="79">
        <f t="shared" si="2"/>
        <v>6.9720099458319584E-2</v>
      </c>
      <c r="J8" s="78">
        <f t="shared" si="0"/>
        <v>2.7541730000000002</v>
      </c>
      <c r="K8" s="79">
        <f t="shared" si="1"/>
        <v>2.1118862177502917E-2</v>
      </c>
      <c r="L8" s="76" t="s">
        <v>58</v>
      </c>
      <c r="M8" s="92" t="s">
        <v>59</v>
      </c>
    </row>
    <row r="9" spans="1:13" x14ac:dyDescent="0.3">
      <c r="A9" s="142"/>
      <c r="B9" s="78" t="s">
        <v>447</v>
      </c>
      <c r="C9" s="92" t="s">
        <v>45</v>
      </c>
      <c r="D9" s="78">
        <v>0.72758199999999995</v>
      </c>
      <c r="E9" s="78">
        <v>2.2741060000000002</v>
      </c>
      <c r="F9" s="78">
        <v>5.0347520000000001</v>
      </c>
      <c r="G9" s="78">
        <v>7.732227</v>
      </c>
      <c r="H9" s="78">
        <v>0.74004899999999996</v>
      </c>
      <c r="I9" s="79">
        <f t="shared" si="2"/>
        <v>-0.90429031636034485</v>
      </c>
      <c r="J9" s="78">
        <f t="shared" si="0"/>
        <v>3.3017431999999998</v>
      </c>
      <c r="K9" s="79">
        <f t="shared" si="1"/>
        <v>-0.77586112693440246</v>
      </c>
      <c r="L9" s="76" t="s">
        <v>58</v>
      </c>
      <c r="M9" s="92" t="s">
        <v>59</v>
      </c>
    </row>
    <row r="10" spans="1:13" x14ac:dyDescent="0.3">
      <c r="A10" s="142"/>
      <c r="B10" s="78" t="s">
        <v>439</v>
      </c>
      <c r="C10" s="92" t="s">
        <v>45</v>
      </c>
      <c r="D10" s="78">
        <v>1.6473180000000001</v>
      </c>
      <c r="E10" s="78">
        <v>5.5559079999999996</v>
      </c>
      <c r="F10" s="78">
        <v>4.0312390000000002</v>
      </c>
      <c r="G10" s="78">
        <v>1.3061039999999999</v>
      </c>
      <c r="H10" s="78">
        <v>0</v>
      </c>
      <c r="I10" s="79">
        <f t="shared" si="2"/>
        <v>-1</v>
      </c>
      <c r="J10" s="78">
        <f t="shared" si="0"/>
        <v>2.5081137999999998</v>
      </c>
      <c r="K10" s="79">
        <f t="shared" si="1"/>
        <v>-1</v>
      </c>
      <c r="L10" s="76" t="s">
        <v>58</v>
      </c>
      <c r="M10" s="92" t="s">
        <v>59</v>
      </c>
    </row>
    <row r="11" spans="1:13" x14ac:dyDescent="0.3">
      <c r="A11" s="102" t="s">
        <v>60</v>
      </c>
      <c r="B11" s="85" t="s">
        <v>57</v>
      </c>
      <c r="C11" s="92" t="s">
        <v>45</v>
      </c>
      <c r="D11" s="78">
        <v>2.5200000000000001E-3</v>
      </c>
      <c r="E11" s="78">
        <v>9.3427800000000002E-3</v>
      </c>
      <c r="F11" s="78">
        <v>0.3150096</v>
      </c>
      <c r="G11" s="78">
        <v>0.13691303999999999</v>
      </c>
      <c r="H11" s="78">
        <v>0</v>
      </c>
      <c r="I11" s="79">
        <f t="shared" si="2"/>
        <v>-1</v>
      </c>
      <c r="J11" s="78">
        <f t="shared" si="0"/>
        <v>9.2757084000000004E-2</v>
      </c>
      <c r="K11" s="79">
        <f t="shared" si="1"/>
        <v>-1</v>
      </c>
      <c r="L11" s="76" t="s">
        <v>58</v>
      </c>
      <c r="M11" s="92" t="s">
        <v>59</v>
      </c>
    </row>
    <row r="12" spans="1:13" x14ac:dyDescent="0.3">
      <c r="A12" s="102" t="s">
        <v>61</v>
      </c>
      <c r="B12" s="85" t="s">
        <v>57</v>
      </c>
      <c r="C12" s="92" t="s">
        <v>45</v>
      </c>
      <c r="D12" s="78">
        <f>+D7-D11</f>
        <v>12.263624</v>
      </c>
      <c r="E12" s="78">
        <f t="shared" ref="E12:H12" si="3">+E7-E11</f>
        <v>19.408910219999999</v>
      </c>
      <c r="F12" s="78">
        <f t="shared" si="3"/>
        <v>24.693708399999998</v>
      </c>
      <c r="G12" s="78">
        <f t="shared" si="3"/>
        <v>20.911812959999999</v>
      </c>
      <c r="H12" s="78">
        <f t="shared" si="3"/>
        <v>14.459725000000001</v>
      </c>
      <c r="I12" s="79">
        <f t="shared" si="2"/>
        <v>-0.30853795279928697</v>
      </c>
      <c r="J12" s="78">
        <f t="shared" si="0"/>
        <v>18.347556116</v>
      </c>
      <c r="K12" s="79">
        <f t="shared" si="1"/>
        <v>-0.21189912658774279</v>
      </c>
      <c r="L12" s="76" t="s">
        <v>58</v>
      </c>
      <c r="M12" s="92" t="s">
        <v>59</v>
      </c>
    </row>
    <row r="13" spans="1:13" x14ac:dyDescent="0.3">
      <c r="A13" s="13" t="s">
        <v>62</v>
      </c>
    </row>
    <row r="14" spans="1:13" x14ac:dyDescent="0.3">
      <c r="A14" s="13" t="s">
        <v>63</v>
      </c>
    </row>
  </sheetData>
  <mergeCells count="1">
    <mergeCell ref="A7:A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ABA-9474-4BEB-A323-386F82928ECB}">
  <sheetPr codeName="Sheet17"/>
  <dimension ref="A1:U148"/>
  <sheetViews>
    <sheetView workbookViewId="0"/>
  </sheetViews>
  <sheetFormatPr defaultRowHeight="14.4" x14ac:dyDescent="0.3"/>
  <cols>
    <col min="1" max="1" width="32.88671875" bestFit="1" customWidth="1"/>
    <col min="4" max="4" width="14.5546875" bestFit="1" customWidth="1"/>
    <col min="6" max="6" width="9.6640625" bestFit="1" customWidth="1"/>
    <col min="7" max="8" width="11" bestFit="1" customWidth="1"/>
  </cols>
  <sheetData>
    <row r="1" spans="1:13" x14ac:dyDescent="0.3">
      <c r="A1" s="111" t="s">
        <v>24</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77" t="s">
        <v>45</v>
      </c>
      <c r="D3" s="78">
        <v>841.78255465999996</v>
      </c>
      <c r="E3" s="78">
        <v>1102.8636452572766</v>
      </c>
      <c r="F3" s="78">
        <v>1171.2101173244102</v>
      </c>
      <c r="G3" s="78">
        <v>1035.3795560873605</v>
      </c>
      <c r="H3" s="78">
        <v>922.77251201208901</v>
      </c>
      <c r="I3" s="79">
        <f t="shared" ref="I3:I15" si="0">IF(ISBLANK(H3),"N/A",IF(ISNA(H3/G3-1),"N/A",IF(ISERROR(H3/G3-1),"N/A",H3/G3-1)))</f>
        <v>-0.10875919213704288</v>
      </c>
      <c r="J3" s="78">
        <f t="shared" ref="J3:J15" si="1">IF(ISBLANK(H3),"",IF(ISNA(AVERAGE(D3:H3)),"N/A",IF(ISERROR(AVERAGE(D3:H3)),"N/A",AVERAGE(D3:H3))))</f>
        <v>1014.8016770682273</v>
      </c>
      <c r="K3" s="90">
        <f t="shared" ref="K3:K15" si="2">IF(ISBLANK(H3),"",IF(ISNA(H3/AVERAGE(D3:H3)-1),"N/A",IF(ISERROR(H3/AVERAGE(D3:H3)-1),"N/A",H3/AVERAGE(D3:H3)-1)))</f>
        <v>-9.068684762328294E-2</v>
      </c>
      <c r="L3" s="76" t="s">
        <v>413</v>
      </c>
      <c r="M3" s="92" t="s">
        <v>412</v>
      </c>
    </row>
    <row r="4" spans="1:13" x14ac:dyDescent="0.3">
      <c r="A4" s="75" t="s">
        <v>131</v>
      </c>
      <c r="B4" s="76"/>
      <c r="C4" s="77" t="s">
        <v>132</v>
      </c>
      <c r="D4" s="84">
        <v>24.71153365</v>
      </c>
      <c r="E4" s="84">
        <v>27.148736080838219</v>
      </c>
      <c r="F4" s="134" t="s">
        <v>74</v>
      </c>
      <c r="G4" s="134" t="s">
        <v>74</v>
      </c>
      <c r="H4" s="134" t="s">
        <v>74</v>
      </c>
      <c r="I4" s="79" t="str">
        <f t="shared" si="0"/>
        <v>N/A</v>
      </c>
      <c r="J4" s="134">
        <f t="shared" si="1"/>
        <v>25.93013486541911</v>
      </c>
      <c r="K4" s="90" t="str">
        <f t="shared" si="2"/>
        <v>N/A</v>
      </c>
      <c r="L4" s="80" t="s">
        <v>420</v>
      </c>
      <c r="M4" s="81" t="s">
        <v>421</v>
      </c>
    </row>
    <row r="5" spans="1:13" x14ac:dyDescent="0.3">
      <c r="A5" s="75" t="s">
        <v>148</v>
      </c>
      <c r="B5" s="76"/>
      <c r="C5" s="77" t="s">
        <v>132</v>
      </c>
      <c r="D5" s="100">
        <v>9.4367654900000009</v>
      </c>
      <c r="E5" s="134" t="s">
        <v>74</v>
      </c>
      <c r="F5" s="134" t="s">
        <v>74</v>
      </c>
      <c r="G5" s="134" t="s">
        <v>74</v>
      </c>
      <c r="H5" s="134" t="s">
        <v>74</v>
      </c>
      <c r="I5" s="79" t="str">
        <f t="shared" si="0"/>
        <v>N/A</v>
      </c>
      <c r="J5" s="134">
        <f t="shared" si="1"/>
        <v>9.4367654900000009</v>
      </c>
      <c r="K5" s="90" t="str">
        <f t="shared" si="2"/>
        <v>N/A</v>
      </c>
      <c r="L5" s="80" t="s">
        <v>420</v>
      </c>
      <c r="M5" s="81" t="s">
        <v>421</v>
      </c>
    </row>
    <row r="6" spans="1:13" x14ac:dyDescent="0.3">
      <c r="A6" s="75" t="s">
        <v>134</v>
      </c>
      <c r="B6" s="76"/>
      <c r="C6" s="77" t="s">
        <v>132</v>
      </c>
      <c r="D6" s="100">
        <v>12.165429919999999</v>
      </c>
      <c r="E6" s="134" t="s">
        <v>74</v>
      </c>
      <c r="F6" s="134" t="s">
        <v>74</v>
      </c>
      <c r="G6" s="134" t="s">
        <v>74</v>
      </c>
      <c r="H6" s="134" t="s">
        <v>74</v>
      </c>
      <c r="I6" s="79" t="str">
        <f t="shared" si="0"/>
        <v>N/A</v>
      </c>
      <c r="J6" s="134">
        <f t="shared" si="1"/>
        <v>12.165429919999999</v>
      </c>
      <c r="K6" s="90" t="str">
        <f t="shared" si="2"/>
        <v>N/A</v>
      </c>
      <c r="L6" s="80" t="s">
        <v>420</v>
      </c>
      <c r="M6" s="81" t="s">
        <v>421</v>
      </c>
    </row>
    <row r="7" spans="1:13" x14ac:dyDescent="0.3">
      <c r="A7" s="75" t="s">
        <v>149</v>
      </c>
      <c r="B7" s="76"/>
      <c r="C7" s="82" t="s">
        <v>408</v>
      </c>
      <c r="D7" s="83">
        <v>641.25</v>
      </c>
      <c r="E7" s="83">
        <v>678.53300000000002</v>
      </c>
      <c r="F7" s="83">
        <v>721.08699999999999</v>
      </c>
      <c r="G7" s="83">
        <v>689.22699999999998</v>
      </c>
      <c r="H7" s="83">
        <v>638.43899999999996</v>
      </c>
      <c r="I7" s="79">
        <f t="shared" si="0"/>
        <v>-7.3688349411732301E-2</v>
      </c>
      <c r="J7" s="83">
        <f t="shared" si="1"/>
        <v>673.70719999999994</v>
      </c>
      <c r="K7" s="90">
        <f t="shared" si="2"/>
        <v>-5.2349447950088668E-2</v>
      </c>
      <c r="L7" s="76" t="s">
        <v>406</v>
      </c>
      <c r="M7" s="92" t="s">
        <v>407</v>
      </c>
    </row>
    <row r="8" spans="1:13" x14ac:dyDescent="0.3">
      <c r="A8" s="75" t="s">
        <v>150</v>
      </c>
      <c r="B8" s="76"/>
      <c r="C8" s="82" t="s">
        <v>151</v>
      </c>
      <c r="D8" s="83">
        <v>94.3</v>
      </c>
      <c r="E8" s="83">
        <v>99.2</v>
      </c>
      <c r="F8" s="83">
        <v>113.3</v>
      </c>
      <c r="G8" s="83">
        <v>119</v>
      </c>
      <c r="H8" s="83">
        <v>110</v>
      </c>
      <c r="I8" s="79">
        <f t="shared" ref="I8" si="3">IF(ISBLANK(H8),"N/A",IF(ISNA(H8/G8-1),"N/A",IF(ISERROR(H8/G8-1),"N/A",H8/G8-1)))</f>
        <v>-7.5630252100840289E-2</v>
      </c>
      <c r="J8" s="83">
        <f t="shared" ref="J8" si="4">IF(ISBLANK(H8),"",IF(ISNA(AVERAGE(D8:H8)),"N/A",IF(ISERROR(AVERAGE(D8:H8)),"N/A",AVERAGE(D8:H8))))</f>
        <v>107.16</v>
      </c>
      <c r="K8" s="90">
        <f t="shared" ref="K8" si="5">IF(ISBLANK(H8),"",IF(ISNA(H8/AVERAGE(D8:H8)-1),"N/A",IF(ISERROR(H8/AVERAGE(D8:H8)-1),"N/A",H8/AVERAGE(D8:H8)-1)))</f>
        <v>2.650242627846211E-2</v>
      </c>
      <c r="L8" s="76" t="s">
        <v>409</v>
      </c>
      <c r="M8" s="92" t="s">
        <v>405</v>
      </c>
    </row>
    <row r="9" spans="1:13" x14ac:dyDescent="0.3">
      <c r="A9" s="75" t="s">
        <v>152</v>
      </c>
      <c r="B9" s="76"/>
      <c r="C9" s="77" t="s">
        <v>153</v>
      </c>
      <c r="D9" s="84">
        <v>1199</v>
      </c>
      <c r="E9" s="84">
        <v>1385</v>
      </c>
      <c r="F9" s="84">
        <v>1295</v>
      </c>
      <c r="G9" s="84">
        <v>1155</v>
      </c>
      <c r="H9" s="84">
        <v>1167</v>
      </c>
      <c r="I9" s="79">
        <f t="shared" si="0"/>
        <v>1.0389610389610393E-2</v>
      </c>
      <c r="J9" s="84">
        <f t="shared" si="1"/>
        <v>1240.2</v>
      </c>
      <c r="K9" s="90">
        <f t="shared" si="2"/>
        <v>-5.9022738268021291E-2</v>
      </c>
      <c r="L9" s="76" t="s">
        <v>411</v>
      </c>
      <c r="M9" s="92" t="s">
        <v>410</v>
      </c>
    </row>
    <row r="10" spans="1:13" x14ac:dyDescent="0.3">
      <c r="A10" s="146" t="s">
        <v>56</v>
      </c>
      <c r="B10" s="85" t="s">
        <v>57</v>
      </c>
      <c r="C10" s="77" t="s">
        <v>45</v>
      </c>
      <c r="D10" s="101">
        <v>466.003916</v>
      </c>
      <c r="E10" s="101">
        <v>706.07081700000003</v>
      </c>
      <c r="F10" s="101">
        <v>755.25449400000002</v>
      </c>
      <c r="G10" s="101">
        <v>662.08734600000003</v>
      </c>
      <c r="H10" s="101">
        <v>495.514388</v>
      </c>
      <c r="I10" s="79">
        <f t="shared" si="0"/>
        <v>-0.25158758735739384</v>
      </c>
      <c r="J10" s="101">
        <f t="shared" si="1"/>
        <v>616.9861922</v>
      </c>
      <c r="K10" s="90">
        <f t="shared" si="2"/>
        <v>-0.19687929119915237</v>
      </c>
      <c r="L10" s="76" t="s">
        <v>58</v>
      </c>
      <c r="M10" s="92" t="s">
        <v>59</v>
      </c>
    </row>
    <row r="11" spans="1:13" x14ac:dyDescent="0.3">
      <c r="A11" s="146"/>
      <c r="B11" s="101" t="s">
        <v>426</v>
      </c>
      <c r="C11" s="77" t="s">
        <v>45</v>
      </c>
      <c r="D11" s="101">
        <v>421.05429800000002</v>
      </c>
      <c r="E11" s="101">
        <v>587.95016299999997</v>
      </c>
      <c r="F11" s="101">
        <v>594.57458699999995</v>
      </c>
      <c r="G11" s="101">
        <v>567.46235000000001</v>
      </c>
      <c r="H11" s="101">
        <v>430.42803600000002</v>
      </c>
      <c r="I11" s="79">
        <f t="shared" si="0"/>
        <v>-0.24148617789356419</v>
      </c>
      <c r="J11" s="101">
        <f t="shared" si="1"/>
        <v>520.29388680000011</v>
      </c>
      <c r="K11" s="90">
        <f t="shared" si="2"/>
        <v>-0.17272132746496083</v>
      </c>
      <c r="L11" s="76" t="s">
        <v>58</v>
      </c>
      <c r="M11" s="92" t="s">
        <v>59</v>
      </c>
    </row>
    <row r="12" spans="1:13" x14ac:dyDescent="0.3">
      <c r="A12" s="146"/>
      <c r="B12" s="101" t="s">
        <v>448</v>
      </c>
      <c r="C12" s="77" t="s">
        <v>45</v>
      </c>
      <c r="D12" s="101">
        <v>11.937002</v>
      </c>
      <c r="E12" s="101">
        <v>50.216537000000002</v>
      </c>
      <c r="F12" s="101">
        <v>78.842713000000003</v>
      </c>
      <c r="G12" s="101">
        <v>48.450794000000002</v>
      </c>
      <c r="H12" s="101">
        <v>31.820152</v>
      </c>
      <c r="I12" s="79">
        <f t="shared" si="0"/>
        <v>-0.34324807969091287</v>
      </c>
      <c r="J12" s="101">
        <f t="shared" si="1"/>
        <v>44.2534396</v>
      </c>
      <c r="K12" s="90">
        <f t="shared" si="2"/>
        <v>-0.28095641180397646</v>
      </c>
      <c r="L12" s="76" t="s">
        <v>58</v>
      </c>
      <c r="M12" s="92" t="s">
        <v>59</v>
      </c>
    </row>
    <row r="13" spans="1:13" x14ac:dyDescent="0.3">
      <c r="A13" s="146"/>
      <c r="B13" s="101" t="s">
        <v>432</v>
      </c>
      <c r="C13" s="77" t="s">
        <v>45</v>
      </c>
      <c r="D13" s="101">
        <v>9.4971029999999992</v>
      </c>
      <c r="E13" s="101">
        <v>26.5122</v>
      </c>
      <c r="F13" s="101">
        <v>40.815897999999997</v>
      </c>
      <c r="G13" s="101">
        <v>22.497496999999999</v>
      </c>
      <c r="H13" s="101">
        <v>12.512032</v>
      </c>
      <c r="I13" s="79">
        <f t="shared" si="0"/>
        <v>-0.44384782004860368</v>
      </c>
      <c r="J13" s="101">
        <f t="shared" si="1"/>
        <v>22.366945999999999</v>
      </c>
      <c r="K13" s="90">
        <f t="shared" si="2"/>
        <v>-0.44060168071224382</v>
      </c>
      <c r="L13" s="76" t="s">
        <v>58</v>
      </c>
      <c r="M13" s="92" t="s">
        <v>59</v>
      </c>
    </row>
    <row r="14" spans="1:13" x14ac:dyDescent="0.3">
      <c r="A14" s="75" t="s">
        <v>60</v>
      </c>
      <c r="B14" s="85" t="s">
        <v>57</v>
      </c>
      <c r="C14" s="77" t="s">
        <v>45</v>
      </c>
      <c r="D14" s="89">
        <v>3.9309169999999997E-2</v>
      </c>
      <c r="E14" s="89">
        <v>5.18521E-3</v>
      </c>
      <c r="F14" s="89">
        <v>1.7798770000000002E-2</v>
      </c>
      <c r="G14" s="89">
        <v>0.29304582000000001</v>
      </c>
      <c r="H14" s="89">
        <v>8.6119820000000014E-2</v>
      </c>
      <c r="I14" s="79">
        <f t="shared" si="0"/>
        <v>-0.70612165701595742</v>
      </c>
      <c r="J14" s="89">
        <f t="shared" si="1"/>
        <v>8.8291758000000012E-2</v>
      </c>
      <c r="K14" s="90">
        <f t="shared" si="2"/>
        <v>-2.459955548738757E-2</v>
      </c>
      <c r="L14" s="76" t="s">
        <v>58</v>
      </c>
      <c r="M14" s="92" t="s">
        <v>59</v>
      </c>
    </row>
    <row r="15" spans="1:13" x14ac:dyDescent="0.3">
      <c r="A15" s="86" t="s">
        <v>61</v>
      </c>
      <c r="B15" s="87" t="s">
        <v>57</v>
      </c>
      <c r="C15" s="88" t="s">
        <v>45</v>
      </c>
      <c r="D15" s="78">
        <f>+D10-D14</f>
        <v>465.96460682999998</v>
      </c>
      <c r="E15" s="78">
        <f t="shared" ref="E15:H15" si="6">+E10-E14</f>
        <v>706.06563179</v>
      </c>
      <c r="F15" s="78">
        <f t="shared" si="6"/>
        <v>755.23669523000001</v>
      </c>
      <c r="G15" s="78">
        <f t="shared" si="6"/>
        <v>661.79430018000005</v>
      </c>
      <c r="H15" s="78">
        <f t="shared" si="6"/>
        <v>495.42826817999998</v>
      </c>
      <c r="I15" s="79">
        <f t="shared" si="0"/>
        <v>-0.25138631740217543</v>
      </c>
      <c r="J15" s="78">
        <f t="shared" si="1"/>
        <v>616.89790044200004</v>
      </c>
      <c r="K15" s="90">
        <f t="shared" si="2"/>
        <v>-0.19690394824649027</v>
      </c>
      <c r="L15" s="76" t="s">
        <v>58</v>
      </c>
      <c r="M15" s="92" t="s">
        <v>59</v>
      </c>
    </row>
    <row r="16" spans="1:13" x14ac:dyDescent="0.3">
      <c r="A16" s="13" t="s">
        <v>62</v>
      </c>
    </row>
    <row r="17" spans="1:8" x14ac:dyDescent="0.3">
      <c r="A17" s="13" t="s">
        <v>63</v>
      </c>
    </row>
    <row r="18" spans="1:8" x14ac:dyDescent="0.3">
      <c r="A18" s="13"/>
      <c r="D18" s="140"/>
      <c r="E18" s="140"/>
      <c r="F18" s="140"/>
      <c r="G18" s="140"/>
      <c r="H18" s="140"/>
    </row>
    <row r="148" spans="21:21" x14ac:dyDescent="0.3">
      <c r="U148" s="139"/>
    </row>
  </sheetData>
  <mergeCells count="1">
    <mergeCell ref="A10:A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5840-63D3-4337-8C95-C64D2B257927}">
  <sheetPr codeName="Sheet18"/>
  <dimension ref="A1:M16"/>
  <sheetViews>
    <sheetView workbookViewId="0"/>
  </sheetViews>
  <sheetFormatPr defaultRowHeight="14.4" x14ac:dyDescent="0.3"/>
  <cols>
    <col min="1" max="1" width="28.6640625" bestFit="1" customWidth="1"/>
    <col min="2" max="2" width="10.5546875" bestFit="1" customWidth="1"/>
    <col min="3" max="3" width="12.109375" bestFit="1" customWidth="1"/>
    <col min="7" max="7" width="12.5546875" bestFit="1" customWidth="1"/>
    <col min="8" max="8" width="10.5546875" bestFit="1" customWidth="1"/>
  </cols>
  <sheetData>
    <row r="1" spans="1:13" x14ac:dyDescent="0.3">
      <c r="A1" s="111" t="s">
        <v>25</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77" t="s">
        <v>45</v>
      </c>
      <c r="D3" s="78">
        <v>389.42575252999995</v>
      </c>
      <c r="E3" s="78">
        <v>314.30803050142862</v>
      </c>
      <c r="F3" s="78">
        <v>377.20469618979013</v>
      </c>
      <c r="G3" s="78">
        <v>418.02990047541061</v>
      </c>
      <c r="H3" s="78">
        <v>450.83609511084433</v>
      </c>
      <c r="I3" s="79">
        <f t="shared" ref="I3:I14" si="0">IF(ISBLANK(H3),"N/A",IF(ISNA(H3/G3-1),"N/A",IF(ISERROR(H3/G3-1),"N/A",H3/G3-1)))</f>
        <v>7.8478105509018237E-2</v>
      </c>
      <c r="J3" s="78">
        <f t="shared" ref="J3:J14" si="1">IF(ISBLANK(H3),"",IF(ISNA(AVERAGE(D3:H3)),"N/A",IF(ISERROR(AVERAGE(D3:H3)),"N/A",AVERAGE(D3:H3))))</f>
        <v>389.96089496149477</v>
      </c>
      <c r="K3" s="90">
        <f t="shared" ref="K3:K14" si="2">IF(ISBLANK(H3),"",IF(ISNA(H3/AVERAGE(D3:H3)-1),"N/A",IF(ISERROR(H3/AVERAGE(D3:H3)-1),"N/A",H3/AVERAGE(D3:H3)-1)))</f>
        <v>0.15610590942807345</v>
      </c>
      <c r="L3" s="76" t="s">
        <v>413</v>
      </c>
      <c r="M3" s="92" t="s">
        <v>412</v>
      </c>
    </row>
    <row r="4" spans="1:13" x14ac:dyDescent="0.3">
      <c r="A4" s="75" t="s">
        <v>154</v>
      </c>
      <c r="B4" s="76"/>
      <c r="C4" s="77" t="s">
        <v>132</v>
      </c>
      <c r="D4" s="83">
        <v>5.6959493599999993</v>
      </c>
      <c r="E4" s="80" t="s">
        <v>74</v>
      </c>
      <c r="F4" s="80" t="s">
        <v>74</v>
      </c>
      <c r="G4" s="80" t="s">
        <v>74</v>
      </c>
      <c r="H4" s="80" t="s">
        <v>74</v>
      </c>
      <c r="I4" s="79" t="str">
        <f t="shared" si="0"/>
        <v>N/A</v>
      </c>
      <c r="J4" s="84">
        <f t="shared" si="1"/>
        <v>5.6959493599999993</v>
      </c>
      <c r="K4" s="90" t="str">
        <f t="shared" si="2"/>
        <v>N/A</v>
      </c>
      <c r="L4" s="80" t="s">
        <v>420</v>
      </c>
      <c r="M4" s="81" t="s">
        <v>421</v>
      </c>
    </row>
    <row r="5" spans="1:13" x14ac:dyDescent="0.3">
      <c r="A5" s="75" t="s">
        <v>155</v>
      </c>
      <c r="B5" s="76"/>
      <c r="C5" s="82" t="s">
        <v>156</v>
      </c>
      <c r="D5" s="83">
        <v>109.85436179999999</v>
      </c>
      <c r="E5" s="83">
        <v>114.89480934358058</v>
      </c>
      <c r="F5" s="80" t="s">
        <v>74</v>
      </c>
      <c r="G5" s="80" t="s">
        <v>74</v>
      </c>
      <c r="H5" s="80" t="s">
        <v>74</v>
      </c>
      <c r="I5" s="79" t="str">
        <f t="shared" si="0"/>
        <v>N/A</v>
      </c>
      <c r="J5" s="84">
        <f t="shared" si="1"/>
        <v>112.37458557179028</v>
      </c>
      <c r="K5" s="90" t="str">
        <f t="shared" si="2"/>
        <v>N/A</v>
      </c>
      <c r="L5" s="80" t="s">
        <v>420</v>
      </c>
      <c r="M5" s="81" t="s">
        <v>421</v>
      </c>
    </row>
    <row r="6" spans="1:13" x14ac:dyDescent="0.3">
      <c r="A6" s="75" t="s">
        <v>157</v>
      </c>
      <c r="B6" s="76"/>
      <c r="C6" s="82" t="s">
        <v>115</v>
      </c>
      <c r="D6" s="97">
        <v>0.35976481782449871</v>
      </c>
      <c r="E6" s="97">
        <v>0.34164828377954803</v>
      </c>
      <c r="F6" s="80" t="s">
        <v>74</v>
      </c>
      <c r="G6" s="80" t="s">
        <v>74</v>
      </c>
      <c r="H6" s="80" t="s">
        <v>74</v>
      </c>
      <c r="I6" s="79" t="str">
        <f t="shared" si="0"/>
        <v>N/A</v>
      </c>
      <c r="J6" s="84">
        <f t="shared" si="1"/>
        <v>0.3507065508020234</v>
      </c>
      <c r="K6" s="90" t="str">
        <f t="shared" si="2"/>
        <v>N/A</v>
      </c>
      <c r="L6" s="80" t="s">
        <v>420</v>
      </c>
      <c r="M6" s="81" t="s">
        <v>421</v>
      </c>
    </row>
    <row r="7" spans="1:13" x14ac:dyDescent="0.3">
      <c r="A7" s="75" t="s">
        <v>158</v>
      </c>
      <c r="B7" s="76"/>
      <c r="C7" s="77" t="s">
        <v>159</v>
      </c>
      <c r="D7" s="98">
        <v>280.74700000000001</v>
      </c>
      <c r="E7" s="98">
        <v>287.649</v>
      </c>
      <c r="F7" s="98">
        <v>325.04399999999998</v>
      </c>
      <c r="G7" s="98">
        <v>352.47</v>
      </c>
      <c r="H7" s="98">
        <v>394.76600000000002</v>
      </c>
      <c r="I7" s="79">
        <f t="shared" si="0"/>
        <v>0.11999886515164415</v>
      </c>
      <c r="J7" s="98">
        <f t="shared" si="1"/>
        <v>328.1352</v>
      </c>
      <c r="K7" s="90">
        <f t="shared" si="2"/>
        <v>0.20305898300456637</v>
      </c>
      <c r="L7" s="99" t="s">
        <v>369</v>
      </c>
      <c r="M7" s="92" t="s">
        <v>368</v>
      </c>
    </row>
    <row r="8" spans="1:13" x14ac:dyDescent="0.3">
      <c r="A8" s="75" t="s">
        <v>160</v>
      </c>
      <c r="B8" s="76"/>
      <c r="C8" s="77" t="s">
        <v>102</v>
      </c>
      <c r="D8" s="84">
        <v>113.52500000000001</v>
      </c>
      <c r="E8" s="84">
        <v>115.325</v>
      </c>
      <c r="F8" s="84">
        <v>128.85</v>
      </c>
      <c r="G8" s="84">
        <v>139.375</v>
      </c>
      <c r="H8" s="84">
        <v>159.05000000000001</v>
      </c>
      <c r="I8" s="137">
        <f t="shared" si="0"/>
        <v>0.14116591928251121</v>
      </c>
      <c r="J8" s="84">
        <f t="shared" si="1"/>
        <v>131.22499999999999</v>
      </c>
      <c r="K8" s="90">
        <f t="shared" si="2"/>
        <v>0.21204038864545649</v>
      </c>
      <c r="L8" s="80" t="s">
        <v>375</v>
      </c>
      <c r="M8" s="81" t="s">
        <v>373</v>
      </c>
    </row>
    <row r="9" spans="1:13" x14ac:dyDescent="0.3">
      <c r="A9" s="146" t="s">
        <v>56</v>
      </c>
      <c r="B9" s="85" t="s">
        <v>57</v>
      </c>
      <c r="C9" s="77" t="s">
        <v>45</v>
      </c>
      <c r="D9" s="78">
        <v>0.89936799999999995</v>
      </c>
      <c r="E9" s="78">
        <v>1.101235</v>
      </c>
      <c r="F9" s="78">
        <v>2.0233300000000001</v>
      </c>
      <c r="G9" s="78">
        <v>1.298583</v>
      </c>
      <c r="H9" s="78">
        <v>1.3455239999999999</v>
      </c>
      <c r="I9" s="79">
        <f t="shared" si="0"/>
        <v>3.6147862708814094E-2</v>
      </c>
      <c r="J9" s="78">
        <f t="shared" si="1"/>
        <v>1.3336079999999999</v>
      </c>
      <c r="K9" s="90">
        <f t="shared" si="2"/>
        <v>8.9351593571724841E-3</v>
      </c>
      <c r="L9" s="76" t="s">
        <v>58</v>
      </c>
      <c r="M9" s="92" t="s">
        <v>59</v>
      </c>
    </row>
    <row r="10" spans="1:13" x14ac:dyDescent="0.3">
      <c r="A10" s="146"/>
      <c r="B10" s="78" t="s">
        <v>441</v>
      </c>
      <c r="C10" s="77" t="s">
        <v>45</v>
      </c>
      <c r="D10" s="78">
        <v>0</v>
      </c>
      <c r="E10" s="78">
        <v>2.4499999999999999E-4</v>
      </c>
      <c r="F10" s="78">
        <v>0.50940200000000002</v>
      </c>
      <c r="G10" s="78">
        <v>0.70228900000000005</v>
      </c>
      <c r="H10" s="78">
        <v>1.092625</v>
      </c>
      <c r="I10" s="79">
        <f t="shared" si="0"/>
        <v>0.5558053735712789</v>
      </c>
      <c r="J10" s="78">
        <f t="shared" si="1"/>
        <v>0.46091219999999999</v>
      </c>
      <c r="K10" s="90">
        <f t="shared" si="2"/>
        <v>1.3705707941772856</v>
      </c>
      <c r="L10" s="76" t="s">
        <v>58</v>
      </c>
      <c r="M10" s="92" t="s">
        <v>59</v>
      </c>
    </row>
    <row r="11" spans="1:13" x14ac:dyDescent="0.3">
      <c r="A11" s="146"/>
      <c r="B11" s="78" t="s">
        <v>438</v>
      </c>
      <c r="C11" s="77" t="s">
        <v>45</v>
      </c>
      <c r="D11" s="78">
        <v>0.45018399999999997</v>
      </c>
      <c r="E11" s="78">
        <v>0.35331699999999999</v>
      </c>
      <c r="F11" s="78">
        <v>0</v>
      </c>
      <c r="G11" s="78">
        <v>0</v>
      </c>
      <c r="H11" s="78">
        <v>1.2300000000000001E-4</v>
      </c>
      <c r="I11" s="79" t="str">
        <f t="shared" si="0"/>
        <v>N/A</v>
      </c>
      <c r="J11" s="78">
        <f t="shared" si="1"/>
        <v>0.1607248</v>
      </c>
      <c r="K11" s="90">
        <f t="shared" si="2"/>
        <v>-0.99923471673319864</v>
      </c>
      <c r="L11" s="76" t="s">
        <v>58</v>
      </c>
      <c r="M11" s="92" t="s">
        <v>59</v>
      </c>
    </row>
    <row r="12" spans="1:13" x14ac:dyDescent="0.3">
      <c r="A12" s="146"/>
      <c r="B12" s="78" t="s">
        <v>439</v>
      </c>
      <c r="C12" s="77" t="s">
        <v>45</v>
      </c>
      <c r="D12" s="78">
        <v>0</v>
      </c>
      <c r="E12" s="78">
        <v>0.35416900000000001</v>
      </c>
      <c r="F12" s="78">
        <v>0.76368400000000003</v>
      </c>
      <c r="G12" s="78">
        <v>0</v>
      </c>
      <c r="H12" s="78">
        <v>0</v>
      </c>
      <c r="I12" s="79" t="str">
        <f t="shared" si="0"/>
        <v>N/A</v>
      </c>
      <c r="J12" s="78">
        <f t="shared" si="1"/>
        <v>0.22357060000000001</v>
      </c>
      <c r="K12" s="90">
        <f t="shared" si="2"/>
        <v>-1</v>
      </c>
      <c r="L12" s="76" t="s">
        <v>58</v>
      </c>
      <c r="M12" s="92" t="s">
        <v>59</v>
      </c>
    </row>
    <row r="13" spans="1:13" x14ac:dyDescent="0.3">
      <c r="A13" s="75" t="s">
        <v>60</v>
      </c>
      <c r="B13" s="85" t="s">
        <v>57</v>
      </c>
      <c r="C13" s="77" t="s">
        <v>45</v>
      </c>
      <c r="D13" s="78">
        <v>7.0963791400000007</v>
      </c>
      <c r="E13" s="78">
        <v>9.4969367699999996</v>
      </c>
      <c r="F13" s="78">
        <v>22.546723990000004</v>
      </c>
      <c r="G13" s="78">
        <v>17.096001100000002</v>
      </c>
      <c r="H13" s="78">
        <v>26.90142565</v>
      </c>
      <c r="I13" s="79">
        <f t="shared" si="0"/>
        <v>0.57355076737799204</v>
      </c>
      <c r="J13" s="78">
        <f t="shared" si="1"/>
        <v>16.62749333</v>
      </c>
      <c r="K13" s="90">
        <f t="shared" si="2"/>
        <v>0.61788822380480846</v>
      </c>
      <c r="L13" s="76" t="s">
        <v>58</v>
      </c>
      <c r="M13" s="92" t="s">
        <v>59</v>
      </c>
    </row>
    <row r="14" spans="1:13" x14ac:dyDescent="0.3">
      <c r="A14" s="86" t="s">
        <v>61</v>
      </c>
      <c r="B14" s="87" t="s">
        <v>57</v>
      </c>
      <c r="C14" s="88" t="s">
        <v>45</v>
      </c>
      <c r="D14" s="78">
        <f>+D9-D13</f>
        <v>-6.1970111400000008</v>
      </c>
      <c r="E14" s="78">
        <f t="shared" ref="E14:H14" si="3">+E9-E13</f>
        <v>-8.3957017699999987</v>
      </c>
      <c r="F14" s="78">
        <f t="shared" si="3"/>
        <v>-20.523393990000002</v>
      </c>
      <c r="G14" s="78">
        <f t="shared" si="3"/>
        <v>-15.797418100000002</v>
      </c>
      <c r="H14" s="78">
        <f t="shared" si="3"/>
        <v>-25.555901649999999</v>
      </c>
      <c r="I14" s="79">
        <f t="shared" si="0"/>
        <v>0.61772648468422808</v>
      </c>
      <c r="J14" s="78">
        <f t="shared" si="1"/>
        <v>-15.29388533</v>
      </c>
      <c r="K14" s="90">
        <f t="shared" si="2"/>
        <v>0.67098818243852998</v>
      </c>
      <c r="L14" s="76" t="s">
        <v>58</v>
      </c>
      <c r="M14" s="92" t="s">
        <v>59</v>
      </c>
    </row>
    <row r="15" spans="1:13" x14ac:dyDescent="0.3">
      <c r="A15" s="13" t="s">
        <v>63</v>
      </c>
      <c r="B15" s="13"/>
      <c r="C15" s="13"/>
      <c r="D15" s="13"/>
      <c r="E15" s="13"/>
      <c r="F15" s="13"/>
      <c r="G15" s="13"/>
      <c r="H15" s="13"/>
      <c r="I15" s="13"/>
      <c r="J15" s="13"/>
      <c r="K15" s="13"/>
      <c r="L15" s="13"/>
      <c r="M15" s="13"/>
    </row>
    <row r="16" spans="1:13" x14ac:dyDescent="0.3">
      <c r="A16" s="13" t="s">
        <v>105</v>
      </c>
      <c r="B16" s="13"/>
      <c r="C16" s="13"/>
      <c r="D16" s="13"/>
      <c r="E16" s="13"/>
      <c r="F16" s="13"/>
      <c r="G16" s="13"/>
      <c r="H16" s="13"/>
      <c r="I16" s="13"/>
      <c r="J16" s="13"/>
      <c r="K16" s="13"/>
      <c r="L16" s="13"/>
      <c r="M16" s="13"/>
    </row>
  </sheetData>
  <mergeCells count="1">
    <mergeCell ref="A9:A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00A-DA9A-4F67-AFC6-058275E6210D}">
  <sheetPr codeName="Sheet19"/>
  <dimension ref="A1:M17"/>
  <sheetViews>
    <sheetView zoomScaleNormal="100" workbookViewId="0"/>
  </sheetViews>
  <sheetFormatPr defaultRowHeight="14.4" x14ac:dyDescent="0.3"/>
  <cols>
    <col min="1" max="1" width="31.88671875" bestFit="1" customWidth="1"/>
    <col min="2" max="2" width="10.5546875" bestFit="1" customWidth="1"/>
    <col min="3" max="3" width="12.109375" bestFit="1" customWidth="1"/>
    <col min="4" max="4" width="10.5546875" bestFit="1" customWidth="1"/>
  </cols>
  <sheetData>
    <row r="1" spans="1:13" x14ac:dyDescent="0.3">
      <c r="A1" s="111" t="s">
        <v>26</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670.32424520000006</v>
      </c>
      <c r="E3" s="78">
        <v>686.88446167231552</v>
      </c>
      <c r="F3" s="78">
        <v>812.39187498000001</v>
      </c>
      <c r="G3" s="78">
        <v>879.37690099999998</v>
      </c>
      <c r="H3" s="78">
        <v>887.78311980939191</v>
      </c>
      <c r="I3" s="79">
        <f t="shared" ref="I3:I15" si="0">IF(ISBLANK(H3),"N/A",IF(ISNA(H3/G3-1),"N/A",IF(ISERROR(H3/G3-1),"N/A",H3/G3-1)))</f>
        <v>9.5592899925307506E-3</v>
      </c>
      <c r="J3" s="78">
        <f t="shared" ref="J3:J15" si="1">IF(ISBLANK(H3),"",IF(ISNA(AVERAGE(D3:H3)),"N/A",IF(ISERROR(AVERAGE(D3:H3)),"N/A",AVERAGE(D3:H3))))</f>
        <v>787.35212053234147</v>
      </c>
      <c r="K3" s="79">
        <f t="shared" ref="K3:K15" si="2">IF(ISBLANK(H3),"",IF(ISNA(H3/AVERAGE(D3:H3)-1),"N/A",IF(ISERROR(H3/AVERAGE(D3:H3)-1),"N/A",H3/AVERAGE(D3:H3)-1)))</f>
        <v>0.12755538044292991</v>
      </c>
      <c r="L3" s="76" t="s">
        <v>413</v>
      </c>
      <c r="M3" s="92" t="s">
        <v>412</v>
      </c>
    </row>
    <row r="4" spans="1:13" x14ac:dyDescent="0.3">
      <c r="A4" s="93" t="s">
        <v>161</v>
      </c>
      <c r="B4" s="76"/>
      <c r="C4" s="94" t="s">
        <v>113</v>
      </c>
      <c r="D4" s="98">
        <v>282.65899999999999</v>
      </c>
      <c r="E4" s="98">
        <v>291.68200000000002</v>
      </c>
      <c r="F4" s="98">
        <v>268</v>
      </c>
      <c r="G4" s="98">
        <v>291</v>
      </c>
      <c r="H4" s="80" t="s">
        <v>74</v>
      </c>
      <c r="I4" s="79" t="str">
        <f t="shared" si="0"/>
        <v>N/A</v>
      </c>
      <c r="J4" s="98">
        <f t="shared" si="1"/>
        <v>283.33524999999997</v>
      </c>
      <c r="K4" s="79" t="str">
        <f t="shared" si="2"/>
        <v>N/A</v>
      </c>
      <c r="L4" s="76" t="s">
        <v>413</v>
      </c>
      <c r="M4" s="92" t="s">
        <v>412</v>
      </c>
    </row>
    <row r="5" spans="1:13" x14ac:dyDescent="0.3">
      <c r="A5" s="93" t="s">
        <v>162</v>
      </c>
      <c r="B5" s="85"/>
      <c r="C5" s="94" t="s">
        <v>113</v>
      </c>
      <c r="D5" s="84">
        <v>158.85482999999999</v>
      </c>
      <c r="E5" s="80" t="s">
        <v>74</v>
      </c>
      <c r="F5" s="80" t="s">
        <v>74</v>
      </c>
      <c r="G5" s="80" t="s">
        <v>74</v>
      </c>
      <c r="H5" s="80" t="s">
        <v>74</v>
      </c>
      <c r="I5" s="79" t="str">
        <f t="shared" si="0"/>
        <v>N/A</v>
      </c>
      <c r="J5" s="98">
        <f t="shared" si="1"/>
        <v>158.85482999999999</v>
      </c>
      <c r="K5" s="79" t="str">
        <f t="shared" si="2"/>
        <v>N/A</v>
      </c>
      <c r="L5" s="80" t="s">
        <v>420</v>
      </c>
      <c r="M5" s="81" t="s">
        <v>421</v>
      </c>
    </row>
    <row r="6" spans="1:13" x14ac:dyDescent="0.3">
      <c r="A6" s="93" t="s">
        <v>394</v>
      </c>
      <c r="B6" s="85"/>
      <c r="C6" s="94" t="s">
        <v>115</v>
      </c>
      <c r="D6" s="97">
        <v>0.11862273589498246</v>
      </c>
      <c r="E6" s="97">
        <v>0.13576487070821319</v>
      </c>
      <c r="F6" s="97">
        <v>0.12859884836852206</v>
      </c>
      <c r="G6" s="97">
        <v>0.13465987968533086</v>
      </c>
      <c r="H6" s="80" t="s">
        <v>74</v>
      </c>
      <c r="I6" s="79" t="str">
        <f t="shared" si="0"/>
        <v>N/A</v>
      </c>
      <c r="J6" s="98">
        <f t="shared" si="1"/>
        <v>0.12941158366426214</v>
      </c>
      <c r="K6" s="79" t="str">
        <f t="shared" si="2"/>
        <v>N/A</v>
      </c>
      <c r="L6" s="76" t="s">
        <v>413</v>
      </c>
      <c r="M6" s="92" t="s">
        <v>412</v>
      </c>
    </row>
    <row r="7" spans="1:13" x14ac:dyDescent="0.3">
      <c r="A7" s="93" t="s">
        <v>163</v>
      </c>
      <c r="B7" s="76"/>
      <c r="C7" s="94" t="s">
        <v>164</v>
      </c>
      <c r="D7" s="84">
        <v>1075.4441640654395</v>
      </c>
      <c r="E7" s="84">
        <v>1072.4243484740227</v>
      </c>
      <c r="F7" s="84">
        <v>989.86320143758917</v>
      </c>
      <c r="G7" s="84">
        <v>1040.2347386095892</v>
      </c>
      <c r="H7" s="84">
        <v>1071.2875092948946</v>
      </c>
      <c r="I7" s="79">
        <f t="shared" si="0"/>
        <v>2.9851695519043542E-2</v>
      </c>
      <c r="J7" s="84">
        <f t="shared" si="1"/>
        <v>1049.8507923763068</v>
      </c>
      <c r="K7" s="79">
        <f t="shared" si="2"/>
        <v>2.0418822440535944E-2</v>
      </c>
      <c r="L7" s="80" t="s">
        <v>378</v>
      </c>
      <c r="M7" s="95" t="s">
        <v>379</v>
      </c>
    </row>
    <row r="8" spans="1:13" x14ac:dyDescent="0.3">
      <c r="A8" s="93" t="s">
        <v>165</v>
      </c>
      <c r="B8" s="76"/>
      <c r="C8" s="92" t="s">
        <v>166</v>
      </c>
      <c r="D8" s="80">
        <v>62.66</v>
      </c>
      <c r="E8" s="80">
        <v>64.05</v>
      </c>
      <c r="F8" s="138">
        <v>82.07</v>
      </c>
      <c r="G8" s="138">
        <v>84.54</v>
      </c>
      <c r="H8" s="80" t="s">
        <v>74</v>
      </c>
      <c r="I8" s="79" t="str">
        <f t="shared" si="0"/>
        <v>N/A</v>
      </c>
      <c r="J8" s="80">
        <f t="shared" si="1"/>
        <v>73.33</v>
      </c>
      <c r="K8" s="79" t="str">
        <f t="shared" si="2"/>
        <v>N/A</v>
      </c>
      <c r="L8" s="96" t="s">
        <v>423</v>
      </c>
      <c r="M8" s="95" t="s">
        <v>422</v>
      </c>
    </row>
    <row r="9" spans="1:13" x14ac:dyDescent="0.3">
      <c r="A9" s="93" t="s">
        <v>167</v>
      </c>
      <c r="B9" s="76"/>
      <c r="C9" s="92" t="s">
        <v>168</v>
      </c>
      <c r="D9" s="136">
        <v>8.58</v>
      </c>
      <c r="E9" s="136">
        <v>8.7799999999999994</v>
      </c>
      <c r="F9" s="136">
        <v>11.18</v>
      </c>
      <c r="G9" s="136">
        <v>11.6</v>
      </c>
      <c r="H9" s="80" t="s">
        <v>74</v>
      </c>
      <c r="I9" s="79" t="str">
        <f t="shared" si="0"/>
        <v>N/A</v>
      </c>
      <c r="J9" s="80">
        <f t="shared" si="1"/>
        <v>10.035</v>
      </c>
      <c r="K9" s="79" t="str">
        <f t="shared" si="2"/>
        <v>N/A</v>
      </c>
      <c r="L9" s="96" t="s">
        <v>423</v>
      </c>
      <c r="M9" s="95" t="s">
        <v>422</v>
      </c>
    </row>
    <row r="10" spans="1:13" x14ac:dyDescent="0.3">
      <c r="A10" s="142" t="s">
        <v>56</v>
      </c>
      <c r="B10" s="85" t="s">
        <v>57</v>
      </c>
      <c r="C10" s="92" t="s">
        <v>45</v>
      </c>
      <c r="D10" s="78">
        <v>38.002543000000003</v>
      </c>
      <c r="E10" s="78">
        <v>12.283333000000001</v>
      </c>
      <c r="F10" s="78">
        <v>15.400045</v>
      </c>
      <c r="G10" s="78">
        <v>13.932829999999999</v>
      </c>
      <c r="H10" s="78">
        <v>20.913906999999998</v>
      </c>
      <c r="I10" s="79">
        <f t="shared" si="0"/>
        <v>0.50105233466567811</v>
      </c>
      <c r="J10" s="78">
        <f t="shared" si="1"/>
        <v>20.1065316</v>
      </c>
      <c r="K10" s="79">
        <f t="shared" si="2"/>
        <v>4.0154881809650211E-2</v>
      </c>
      <c r="L10" s="76" t="s">
        <v>58</v>
      </c>
      <c r="M10" s="92" t="s">
        <v>59</v>
      </c>
    </row>
    <row r="11" spans="1:13" x14ac:dyDescent="0.3">
      <c r="A11" s="142"/>
      <c r="B11" s="78" t="s">
        <v>426</v>
      </c>
      <c r="C11" s="92" t="s">
        <v>45</v>
      </c>
      <c r="D11" s="78">
        <v>32.013775000000003</v>
      </c>
      <c r="E11" s="78">
        <v>7.8199149999999999</v>
      </c>
      <c r="F11" s="78">
        <v>6.9536480000000003</v>
      </c>
      <c r="G11" s="78">
        <v>9.3472709999999992</v>
      </c>
      <c r="H11" s="78">
        <v>13.535843</v>
      </c>
      <c r="I11" s="79">
        <f t="shared" si="0"/>
        <v>0.44810640453240325</v>
      </c>
      <c r="J11" s="78">
        <f t="shared" si="1"/>
        <v>13.934090400000002</v>
      </c>
      <c r="K11" s="79">
        <f t="shared" si="2"/>
        <v>-2.858079634677857E-2</v>
      </c>
      <c r="L11" s="76" t="s">
        <v>58</v>
      </c>
      <c r="M11" s="92" t="s">
        <v>59</v>
      </c>
    </row>
    <row r="12" spans="1:13" x14ac:dyDescent="0.3">
      <c r="A12" s="142"/>
      <c r="B12" s="78" t="s">
        <v>437</v>
      </c>
      <c r="C12" s="92" t="s">
        <v>45</v>
      </c>
      <c r="D12" s="78">
        <v>8.2044000000000006E-2</v>
      </c>
      <c r="E12" s="78">
        <v>0.14832500000000001</v>
      </c>
      <c r="F12" s="78">
        <v>3.5164840000000002</v>
      </c>
      <c r="G12" s="78">
        <v>0.84956900000000002</v>
      </c>
      <c r="H12" s="78">
        <v>3.4477159999999998</v>
      </c>
      <c r="I12" s="79">
        <f t="shared" si="0"/>
        <v>3.058194213771924</v>
      </c>
      <c r="J12" s="78">
        <f t="shared" si="1"/>
        <v>1.6088276000000001</v>
      </c>
      <c r="K12" s="79">
        <f t="shared" si="2"/>
        <v>1.1429990385545348</v>
      </c>
      <c r="L12" s="76" t="s">
        <v>58</v>
      </c>
      <c r="M12" s="92" t="s">
        <v>59</v>
      </c>
    </row>
    <row r="13" spans="1:13" x14ac:dyDescent="0.3">
      <c r="A13" s="142"/>
      <c r="B13" s="78" t="s">
        <v>440</v>
      </c>
      <c r="C13" s="92" t="s">
        <v>45</v>
      </c>
      <c r="D13" s="78">
        <v>2.9146969999999999</v>
      </c>
      <c r="E13" s="78">
        <v>2.2506940000000002</v>
      </c>
      <c r="F13" s="78">
        <v>2.416366</v>
      </c>
      <c r="G13" s="78">
        <v>2.3967239999999999</v>
      </c>
      <c r="H13" s="78">
        <v>2.050773</v>
      </c>
      <c r="I13" s="79">
        <f t="shared" si="0"/>
        <v>-0.1443432785752552</v>
      </c>
      <c r="J13" s="78">
        <f t="shared" si="1"/>
        <v>2.4058507999999996</v>
      </c>
      <c r="K13" s="79">
        <f t="shared" si="2"/>
        <v>-0.14758928525409798</v>
      </c>
      <c r="L13" s="76" t="s">
        <v>58</v>
      </c>
      <c r="M13" s="92" t="s">
        <v>59</v>
      </c>
    </row>
    <row r="14" spans="1:13" x14ac:dyDescent="0.3">
      <c r="A14" s="93" t="s">
        <v>60</v>
      </c>
      <c r="B14" s="85" t="s">
        <v>57</v>
      </c>
      <c r="C14" s="92" t="s">
        <v>45</v>
      </c>
      <c r="D14" s="78">
        <v>1.0594188999999998</v>
      </c>
      <c r="E14" s="78">
        <v>0.74182711000000001</v>
      </c>
      <c r="F14" s="78">
        <v>1.9716918600000002</v>
      </c>
      <c r="G14" s="78">
        <v>7.2956019599999999</v>
      </c>
      <c r="H14" s="78">
        <v>8.1820784599999996</v>
      </c>
      <c r="I14" s="79">
        <f t="shared" si="0"/>
        <v>0.12150834226707175</v>
      </c>
      <c r="J14" s="78">
        <f t="shared" si="1"/>
        <v>3.8501236579999998</v>
      </c>
      <c r="K14" s="79">
        <f t="shared" si="2"/>
        <v>1.1251469269042373</v>
      </c>
      <c r="L14" s="76" t="s">
        <v>58</v>
      </c>
      <c r="M14" s="92" t="s">
        <v>59</v>
      </c>
    </row>
    <row r="15" spans="1:13" x14ac:dyDescent="0.3">
      <c r="A15" s="93" t="s">
        <v>61</v>
      </c>
      <c r="B15" s="85" t="s">
        <v>57</v>
      </c>
      <c r="C15" s="92" t="s">
        <v>45</v>
      </c>
      <c r="D15" s="78">
        <f>+D10-D14</f>
        <v>36.943124100000006</v>
      </c>
      <c r="E15" s="78">
        <f t="shared" ref="E15:H15" si="3">+E10-E14</f>
        <v>11.54150589</v>
      </c>
      <c r="F15" s="78">
        <f t="shared" si="3"/>
        <v>13.42835314</v>
      </c>
      <c r="G15" s="78">
        <f t="shared" si="3"/>
        <v>6.6372280399999992</v>
      </c>
      <c r="H15" s="78">
        <f t="shared" si="3"/>
        <v>12.731828539999999</v>
      </c>
      <c r="I15" s="79">
        <f t="shared" si="0"/>
        <v>0.91824485512177767</v>
      </c>
      <c r="J15" s="78">
        <f t="shared" si="1"/>
        <v>16.256407941999999</v>
      </c>
      <c r="K15" s="79">
        <f t="shared" si="2"/>
        <v>-0.21681169755182561</v>
      </c>
      <c r="L15" s="76" t="s">
        <v>58</v>
      </c>
      <c r="M15" s="92" t="s">
        <v>59</v>
      </c>
    </row>
    <row r="16" spans="1:13" x14ac:dyDescent="0.3">
      <c r="A16" s="13"/>
      <c r="B16" s="13"/>
      <c r="C16" s="13"/>
      <c r="D16" s="13"/>
      <c r="E16" s="13"/>
      <c r="F16" s="13"/>
      <c r="G16" s="13"/>
      <c r="H16" s="13"/>
      <c r="I16" s="13"/>
      <c r="J16" s="13"/>
      <c r="K16" s="13"/>
      <c r="L16" s="13"/>
      <c r="M16" s="13"/>
    </row>
    <row r="17" spans="1:13" x14ac:dyDescent="0.3">
      <c r="A17" s="13" t="s">
        <v>63</v>
      </c>
      <c r="B17" s="13"/>
      <c r="C17" s="13"/>
      <c r="D17" s="13"/>
      <c r="E17" s="13"/>
      <c r="F17" s="13"/>
      <c r="G17" s="13"/>
      <c r="H17" s="13"/>
      <c r="I17" s="13"/>
      <c r="J17" s="13"/>
      <c r="K17" s="13"/>
      <c r="L17" s="13"/>
      <c r="M17" s="13"/>
    </row>
  </sheetData>
  <mergeCells count="1">
    <mergeCell ref="A10:A1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2CF-417A-444C-B06C-2D2136854672}">
  <sheetPr codeName="Sheet2"/>
  <dimension ref="A1:M15"/>
  <sheetViews>
    <sheetView workbookViewId="0"/>
  </sheetViews>
  <sheetFormatPr defaultRowHeight="14.4" x14ac:dyDescent="0.3"/>
  <cols>
    <col min="1" max="1" width="25.5546875" customWidth="1"/>
    <col min="2" max="2" width="10.5546875" bestFit="1" customWidth="1"/>
    <col min="3" max="3" width="10" bestFit="1" customWidth="1"/>
    <col min="4" max="8" width="10" customWidth="1"/>
    <col min="10" max="10" width="8.6640625" customWidth="1"/>
  </cols>
  <sheetData>
    <row r="1" spans="1:13" x14ac:dyDescent="0.3">
      <c r="A1" s="111" t="s">
        <v>9</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103">
        <v>3815.9025056</v>
      </c>
      <c r="E3" s="103">
        <v>3888.1594585195617</v>
      </c>
      <c r="F3" s="103">
        <v>4168.4587260281896</v>
      </c>
      <c r="G3" s="103">
        <v>3018.9142746450239</v>
      </c>
      <c r="H3" s="103">
        <v>4311.3477000000003</v>
      </c>
      <c r="I3" s="90">
        <f>IF(ISBLANK(H3),"N/A",IF(ISNA(H3/G3-1),"N/A",IF(ISERROR(H3/G3-1),"N/A",H3/G3-1)))</f>
        <v>0.42811199914146147</v>
      </c>
      <c r="J3" s="103">
        <f>IF(ISBLANK(H3),"",IF(ISNA(AVERAGE(D3:H3)),"N/A",IF(ISERROR(AVERAGE(D3:H3)),"N/A",AVERAGE(D3:H3))))</f>
        <v>3840.5565329585543</v>
      </c>
      <c r="K3" s="90">
        <f>IF(ISBLANK(H3),"",IF(ISNA(H3/AVERAGE(D3:H3)-1),"N/A",IF(ISERROR(H3/AVERAGE(D3:H3)-1),"N/A",H3/AVERAGE(D3:H3)-1)))</f>
        <v>0.12258410024725608</v>
      </c>
      <c r="L3" s="76" t="s">
        <v>364</v>
      </c>
      <c r="M3" s="92" t="s">
        <v>365</v>
      </c>
    </row>
    <row r="4" spans="1:13" x14ac:dyDescent="0.3">
      <c r="A4" s="93" t="s">
        <v>46</v>
      </c>
      <c r="B4" s="85"/>
      <c r="C4" s="94" t="s">
        <v>47</v>
      </c>
      <c r="D4" s="104">
        <v>4037.0010000000002</v>
      </c>
      <c r="E4" s="104">
        <v>3607.7049999999999</v>
      </c>
      <c r="F4" s="104">
        <v>3600</v>
      </c>
      <c r="G4" s="104">
        <v>3300</v>
      </c>
      <c r="H4" s="104">
        <v>3900</v>
      </c>
      <c r="I4" s="90">
        <f>IF(ISBLANK(H4),"N/A",IF(ISNA(H4/G4-1),"N/A",IF(ISERROR(H4/G4-1),"N/A",H4/G4-1)))</f>
        <v>0.18181818181818188</v>
      </c>
      <c r="J4" s="104">
        <f>IF(ISBLANK(H4),"",IF(ISNA(AVERAGE(D4:H4)),"N/A",IF(ISERROR(AVERAGE(D4:H4)),"N/A",AVERAGE(D4:H4))))</f>
        <v>3688.9411999999998</v>
      </c>
      <c r="K4" s="90">
        <f t="shared" ref="K4:K13" si="0">IF(ISBLANK(H4),"",IF(ISNA(H4/AVERAGE(D4:H4)-1),"N/A",IF(ISERROR(H4/AVERAGE(D4:H4)-1),"N/A",H4/AVERAGE(D4:H4)-1)))</f>
        <v>5.7213923604962913E-2</v>
      </c>
      <c r="L4" s="76" t="s">
        <v>367</v>
      </c>
      <c r="M4" s="92" t="s">
        <v>366</v>
      </c>
    </row>
    <row r="5" spans="1:13" x14ac:dyDescent="0.3">
      <c r="A5" s="93" t="s">
        <v>48</v>
      </c>
      <c r="B5" s="85"/>
      <c r="C5" s="92" t="s">
        <v>49</v>
      </c>
      <c r="D5" s="105">
        <f t="shared" ref="D5:G5" si="1">+D6/D4</f>
        <v>3.213313794076345</v>
      </c>
      <c r="E5" s="105">
        <f t="shared" si="1"/>
        <v>3.334367693589138</v>
      </c>
      <c r="F5" s="105">
        <f t="shared" si="1"/>
        <v>2.95</v>
      </c>
      <c r="G5" s="105">
        <f t="shared" si="1"/>
        <v>2.15</v>
      </c>
      <c r="H5" s="105">
        <f t="shared" ref="H5" si="2">+H6/H4</f>
        <v>3.3076923076923075</v>
      </c>
      <c r="I5" s="90">
        <f>IF(ISBLANK(H5),"N/A",IF(ISNA(H5/G5-1),"N/A",IF(ISERROR(H5/G5-1),"N/A",H5/G5-1)))</f>
        <v>0.53846153846153832</v>
      </c>
      <c r="J5" s="105">
        <f>IF(ISBLANK(H5),"",IF(ISNA(AVERAGE(D5:H5)),"N/A",IF(ISERROR(AVERAGE(D5:H5)),"N/A",AVERAGE(D5:H5))))</f>
        <v>2.9910747590715578</v>
      </c>
      <c r="K5" s="90">
        <f t="shared" si="0"/>
        <v>0.10585410734402001</v>
      </c>
      <c r="L5" s="76" t="s">
        <v>367</v>
      </c>
      <c r="M5" s="92" t="s">
        <v>366</v>
      </c>
    </row>
    <row r="6" spans="1:13" x14ac:dyDescent="0.3">
      <c r="A6" s="93" t="s">
        <v>50</v>
      </c>
      <c r="B6" s="76"/>
      <c r="C6" s="94" t="s">
        <v>51</v>
      </c>
      <c r="D6" s="104">
        <v>12972.151</v>
      </c>
      <c r="E6" s="104">
        <v>12029.415000000001</v>
      </c>
      <c r="F6" s="104">
        <v>10620</v>
      </c>
      <c r="G6" s="104">
        <v>7095</v>
      </c>
      <c r="H6" s="104">
        <v>12900</v>
      </c>
      <c r="I6" s="90">
        <f>IF(ISBLANK(H6),"N/A",IF(ISNA(H6/G6-1),"N/A",IF(ISERROR(H6/G6-1),"N/A",H6/G6-1)))</f>
        <v>0.81818181818181812</v>
      </c>
      <c r="J6" s="104">
        <f>IF(ISBLANK(H6),"",IF(ISNA(AVERAGE(D6:H6)),"N/A",IF(ISERROR(AVERAGE(D6:H6)),"N/A",AVERAGE(D6:H6))))</f>
        <v>11123.313200000001</v>
      </c>
      <c r="K6" s="90">
        <f t="shared" si="0"/>
        <v>0.15972640238162117</v>
      </c>
      <c r="L6" s="76" t="s">
        <v>367</v>
      </c>
      <c r="M6" s="92" t="s">
        <v>366</v>
      </c>
    </row>
    <row r="7" spans="1:13" x14ac:dyDescent="0.3">
      <c r="A7" s="93" t="s">
        <v>52</v>
      </c>
      <c r="B7" s="76"/>
      <c r="C7" s="92" t="s">
        <v>53</v>
      </c>
      <c r="D7" s="103">
        <v>308.589</v>
      </c>
      <c r="E7" s="103">
        <v>362.72</v>
      </c>
      <c r="F7" s="103">
        <v>413.11700000000002</v>
      </c>
      <c r="G7" s="103">
        <v>373.65199999999999</v>
      </c>
      <c r="H7" s="103">
        <v>334.21300000000002</v>
      </c>
      <c r="I7" s="90">
        <f>IF(ISBLANK(H7),"N/A",IF(ISNA(H7/G7-1),"N/A",IF(ISERROR(H7/G7-1),"N/A",H7/G7-1)))</f>
        <v>-0.10555008403541255</v>
      </c>
      <c r="J7" s="103">
        <f>IF(ISBLANK(H7),"",IF(ISNA(AVERAGE(D7:H7)),"N/A",IF(ISERROR(AVERAGE(D7:H7)),"N/A",AVERAGE(D7:H7))))</f>
        <v>358.45819999999998</v>
      </c>
      <c r="K7" s="90">
        <f t="shared" si="0"/>
        <v>-6.7637453962553939E-2</v>
      </c>
      <c r="L7" s="99" t="s">
        <v>369</v>
      </c>
      <c r="M7" s="92" t="s">
        <v>368</v>
      </c>
    </row>
    <row r="8" spans="1:13" x14ac:dyDescent="0.3">
      <c r="A8" s="142" t="s">
        <v>56</v>
      </c>
      <c r="B8" s="85" t="s">
        <v>57</v>
      </c>
      <c r="C8" s="92" t="s">
        <v>45</v>
      </c>
      <c r="D8" s="103">
        <v>1422.9298839999999</v>
      </c>
      <c r="E8" s="103">
        <v>2921.8144390000002</v>
      </c>
      <c r="F8" s="103">
        <v>3292.7687769999998</v>
      </c>
      <c r="G8" s="103">
        <v>1104.471693</v>
      </c>
      <c r="H8" s="103">
        <v>1910.1549729999999</v>
      </c>
      <c r="I8" s="90">
        <f t="shared" ref="I8:I13" si="3">IF(ISBLANK(H8),"N/A",IF(ISNA(H8/G8-1),"N/A",IF(ISERROR(H8/G8-1),"N/A",H8/G8-1)))</f>
        <v>0.72947390603699258</v>
      </c>
      <c r="J8" s="103">
        <f t="shared" ref="J8:J13" si="4">IF(ISBLANK(H8),"",IF(ISNA(AVERAGE(D8:H8)),"N/A",IF(ISERROR(AVERAGE(D8:H8)),"N/A",AVERAGE(D8:H8))))</f>
        <v>2130.4279532</v>
      </c>
      <c r="K8" s="90">
        <f t="shared" si="0"/>
        <v>-0.10339377112900727</v>
      </c>
      <c r="L8" s="76" t="s">
        <v>58</v>
      </c>
      <c r="M8" s="92" t="s">
        <v>59</v>
      </c>
    </row>
    <row r="9" spans="1:13" x14ac:dyDescent="0.3">
      <c r="A9" s="142"/>
      <c r="B9" s="103" t="s">
        <v>424</v>
      </c>
      <c r="C9" s="92" t="s">
        <v>45</v>
      </c>
      <c r="D9" s="103">
        <v>264.67167699999999</v>
      </c>
      <c r="E9" s="103">
        <v>693.68962299999998</v>
      </c>
      <c r="F9" s="103">
        <v>593.48110099999997</v>
      </c>
      <c r="G9" s="103">
        <v>227.35570999999999</v>
      </c>
      <c r="H9" s="103">
        <v>349.12148000000002</v>
      </c>
      <c r="I9" s="90">
        <f t="shared" si="3"/>
        <v>0.53557383713828899</v>
      </c>
      <c r="J9" s="103">
        <f t="shared" si="4"/>
        <v>425.66391820000001</v>
      </c>
      <c r="K9" s="90">
        <f t="shared" si="0"/>
        <v>-0.17981894853497116</v>
      </c>
      <c r="L9" s="76" t="s">
        <v>58</v>
      </c>
      <c r="M9" s="92" t="s">
        <v>59</v>
      </c>
    </row>
    <row r="10" spans="1:13" x14ac:dyDescent="0.3">
      <c r="A10" s="142"/>
      <c r="B10" s="103" t="s">
        <v>425</v>
      </c>
      <c r="C10" s="92" t="s">
        <v>45</v>
      </c>
      <c r="D10" s="103">
        <v>282.534088</v>
      </c>
      <c r="E10" s="103">
        <v>363.49632600000001</v>
      </c>
      <c r="F10" s="103">
        <v>184.55249900000001</v>
      </c>
      <c r="G10" s="103">
        <v>101.055823</v>
      </c>
      <c r="H10" s="103">
        <v>340.43573099999998</v>
      </c>
      <c r="I10" s="90">
        <f t="shared" si="3"/>
        <v>2.3687888623696622</v>
      </c>
      <c r="J10" s="103">
        <f t="shared" si="4"/>
        <v>254.41489340000004</v>
      </c>
      <c r="K10" s="90">
        <f t="shared" si="0"/>
        <v>0.33811242907369787</v>
      </c>
      <c r="L10" s="76" t="s">
        <v>58</v>
      </c>
      <c r="M10" s="92" t="s">
        <v>59</v>
      </c>
    </row>
    <row r="11" spans="1:13" x14ac:dyDescent="0.3">
      <c r="A11" s="142"/>
      <c r="B11" s="103" t="s">
        <v>426</v>
      </c>
      <c r="C11" s="92" t="s">
        <v>45</v>
      </c>
      <c r="D11" s="103">
        <v>162.24808200000001</v>
      </c>
      <c r="E11" s="103">
        <v>558.09519299999999</v>
      </c>
      <c r="F11" s="103">
        <v>873.57283800000005</v>
      </c>
      <c r="G11" s="103">
        <v>171.56925899999999</v>
      </c>
      <c r="H11" s="103">
        <v>146.22515200000001</v>
      </c>
      <c r="I11" s="90">
        <f t="shared" si="3"/>
        <v>-0.14771939418354652</v>
      </c>
      <c r="J11" s="103">
        <f t="shared" si="4"/>
        <v>382.34210480000002</v>
      </c>
      <c r="K11" s="90">
        <f t="shared" si="0"/>
        <v>-0.61755414806724152</v>
      </c>
      <c r="L11" s="76" t="s">
        <v>58</v>
      </c>
      <c r="M11" s="92" t="s">
        <v>59</v>
      </c>
    </row>
    <row r="12" spans="1:13" x14ac:dyDescent="0.3">
      <c r="A12" s="93" t="s">
        <v>60</v>
      </c>
      <c r="B12" s="85" t="s">
        <v>57</v>
      </c>
      <c r="C12" s="92" t="s">
        <v>45</v>
      </c>
      <c r="D12" s="103">
        <v>81.377630409999995</v>
      </c>
      <c r="E12" s="103">
        <v>0.36599771000000003</v>
      </c>
      <c r="F12" s="103">
        <v>0.12195565</v>
      </c>
      <c r="G12" s="103">
        <v>6.3067810000000002E-2</v>
      </c>
      <c r="H12" s="103">
        <v>2.814053E-2</v>
      </c>
      <c r="I12" s="90">
        <f t="shared" si="3"/>
        <v>-0.55380518207307339</v>
      </c>
      <c r="J12" s="103">
        <f t="shared" si="4"/>
        <v>16.391358422000003</v>
      </c>
      <c r="K12" s="90">
        <f t="shared" si="0"/>
        <v>-0.99828320940366777</v>
      </c>
      <c r="L12" s="76" t="s">
        <v>58</v>
      </c>
      <c r="M12" s="92" t="s">
        <v>59</v>
      </c>
    </row>
    <row r="13" spans="1:13" x14ac:dyDescent="0.3">
      <c r="A13" s="93" t="s">
        <v>61</v>
      </c>
      <c r="B13" s="85" t="s">
        <v>57</v>
      </c>
      <c r="C13" s="92" t="s">
        <v>45</v>
      </c>
      <c r="D13" s="106">
        <f t="shared" ref="D13:G13" si="5">+D8-D12</f>
        <v>1341.55225359</v>
      </c>
      <c r="E13" s="106">
        <f t="shared" si="5"/>
        <v>2921.4484412900001</v>
      </c>
      <c r="F13" s="106">
        <f t="shared" si="5"/>
        <v>3292.6468213499998</v>
      </c>
      <c r="G13" s="106">
        <f t="shared" si="5"/>
        <v>1104.4086251900001</v>
      </c>
      <c r="H13" s="106">
        <f>+H8-H12</f>
        <v>1910.12683247</v>
      </c>
      <c r="I13" s="90">
        <f t="shared" si="3"/>
        <v>0.72954718833473975</v>
      </c>
      <c r="J13" s="106">
        <f t="shared" si="4"/>
        <v>2114.0365947780001</v>
      </c>
      <c r="K13" s="90">
        <f t="shared" si="0"/>
        <v>-9.6455171500667958E-2</v>
      </c>
      <c r="L13" s="76" t="s">
        <v>58</v>
      </c>
      <c r="M13" s="92" t="s">
        <v>59</v>
      </c>
    </row>
    <row r="14" spans="1:13" x14ac:dyDescent="0.3">
      <c r="A14" s="13" t="s">
        <v>62</v>
      </c>
    </row>
    <row r="15" spans="1:13" x14ac:dyDescent="0.3">
      <c r="A15" s="13" t="s">
        <v>63</v>
      </c>
    </row>
  </sheetData>
  <mergeCells count="1">
    <mergeCell ref="A8:A11"/>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9037-3CD8-4848-A10B-9B58D979E27A}">
  <sheetPr codeName="Sheet20"/>
  <dimension ref="A1:CC52"/>
  <sheetViews>
    <sheetView workbookViewId="0"/>
  </sheetViews>
  <sheetFormatPr defaultRowHeight="14.4" x14ac:dyDescent="0.3"/>
  <cols>
    <col min="1" max="1" width="21.6640625" bestFit="1" customWidth="1"/>
    <col min="8" max="8" width="13.44140625" bestFit="1" customWidth="1"/>
    <col min="12" max="12" width="14.44140625" customWidth="1"/>
    <col min="13" max="13" width="10.44140625" customWidth="1"/>
  </cols>
  <sheetData>
    <row r="1" spans="1:13" x14ac:dyDescent="0.3">
      <c r="A1" s="111" t="s">
        <v>27</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75" t="s">
        <v>169</v>
      </c>
      <c r="B3" s="76"/>
      <c r="C3" s="77" t="s">
        <v>45</v>
      </c>
      <c r="D3" s="89">
        <f>+SUM(D4:D5)</f>
        <v>455.39486886049849</v>
      </c>
      <c r="E3" s="89">
        <f t="shared" ref="E3:H3" si="0">+SUM(E4:E5)</f>
        <v>395.58530664340691</v>
      </c>
      <c r="F3" s="89">
        <f t="shared" si="0"/>
        <v>397.00181852235175</v>
      </c>
      <c r="G3" s="89">
        <f t="shared" si="0"/>
        <v>440.19456794542236</v>
      </c>
      <c r="H3" s="89">
        <f t="shared" si="0"/>
        <v>468.0379977974149</v>
      </c>
      <c r="I3" s="90">
        <f t="shared" ref="I3:I17" si="1">IF(ISBLANK(H3),"N/A",IF(ISNA(H3/G3-1),"N/A",IF(ISERROR(H3/G3-1),"N/A",H3/G3-1)))</f>
        <v>6.3252552120190542E-2</v>
      </c>
      <c r="J3" s="89">
        <f t="shared" ref="J3:J17" si="2">IF(ISBLANK(H3),"",IF(ISNA(AVERAGE(D3:H3)),"N/A",IF(ISERROR(AVERAGE(D3:H3)),"N/A",AVERAGE(D3:H3))))</f>
        <v>431.24291195381892</v>
      </c>
      <c r="K3" s="90">
        <f t="shared" ref="K3:K17" si="3">IF(ISBLANK(H3),"",IF(ISNA(H3/AVERAGE(D3:H3)-1),"N/A",IF(ISERROR(H3/AVERAGE(D3:H3)-1),"N/A",H3/AVERAGE(D3:H3)-1)))</f>
        <v>8.5323340566664907E-2</v>
      </c>
      <c r="L3" s="76" t="s">
        <v>363</v>
      </c>
      <c r="M3" s="91" t="s">
        <v>170</v>
      </c>
    </row>
    <row r="4" spans="1:13" x14ac:dyDescent="0.3">
      <c r="A4" s="75" t="s">
        <v>171</v>
      </c>
      <c r="B4" s="76"/>
      <c r="C4" s="77" t="s">
        <v>45</v>
      </c>
      <c r="D4" s="89">
        <v>360.81427178231399</v>
      </c>
      <c r="E4" s="89">
        <v>284.81670038722302</v>
      </c>
      <c r="F4" s="89">
        <v>285.18573018249998</v>
      </c>
      <c r="G4" s="89">
        <v>304.37153434550697</v>
      </c>
      <c r="H4" s="89">
        <v>332.29238388106353</v>
      </c>
      <c r="I4" s="90">
        <f t="shared" si="1"/>
        <v>9.1732788335791682E-2</v>
      </c>
      <c r="J4" s="89">
        <f t="shared" si="2"/>
        <v>313.4961241157215</v>
      </c>
      <c r="K4" s="90">
        <f t="shared" si="3"/>
        <v>5.99569127636288E-2</v>
      </c>
      <c r="L4" s="76" t="s">
        <v>363</v>
      </c>
      <c r="M4" s="91" t="s">
        <v>170</v>
      </c>
    </row>
    <row r="5" spans="1:13" x14ac:dyDescent="0.3">
      <c r="A5" s="75" t="s">
        <v>172</v>
      </c>
      <c r="B5" s="76"/>
      <c r="C5" s="77" t="s">
        <v>45</v>
      </c>
      <c r="D5" s="89">
        <v>94.580597078184496</v>
      </c>
      <c r="E5" s="89">
        <v>110.7686062561839</v>
      </c>
      <c r="F5" s="89">
        <v>111.8160883398518</v>
      </c>
      <c r="G5" s="89">
        <v>135.82303359991539</v>
      </c>
      <c r="H5" s="89">
        <v>135.74561391635137</v>
      </c>
      <c r="I5" s="90">
        <f t="shared" si="1"/>
        <v>-5.7000408187068974E-4</v>
      </c>
      <c r="J5" s="89">
        <f t="shared" si="2"/>
        <v>117.74678783809739</v>
      </c>
      <c r="K5" s="90">
        <f t="shared" si="3"/>
        <v>0.15286044238423302</v>
      </c>
      <c r="L5" s="76" t="s">
        <v>363</v>
      </c>
      <c r="M5" s="91" t="s">
        <v>170</v>
      </c>
    </row>
    <row r="6" spans="1:13" x14ac:dyDescent="0.3">
      <c r="A6" s="75" t="s">
        <v>173</v>
      </c>
      <c r="B6" s="85"/>
      <c r="C6" s="82" t="s">
        <v>47</v>
      </c>
      <c r="D6" s="84">
        <v>292.49563330686499</v>
      </c>
      <c r="E6" s="84">
        <v>291.78440830115699</v>
      </c>
      <c r="F6" s="84">
        <v>294.300572308185</v>
      </c>
      <c r="G6" s="84">
        <v>296.22257230818502</v>
      </c>
      <c r="H6" s="80" t="s">
        <v>74</v>
      </c>
      <c r="I6" s="90" t="str">
        <f t="shared" si="1"/>
        <v>N/A</v>
      </c>
      <c r="J6" s="84">
        <f t="shared" si="2"/>
        <v>293.700796556098</v>
      </c>
      <c r="K6" s="90" t="str">
        <f t="shared" si="3"/>
        <v>N/A</v>
      </c>
      <c r="L6" s="76" t="s">
        <v>363</v>
      </c>
      <c r="M6" s="91" t="s">
        <v>174</v>
      </c>
    </row>
    <row r="7" spans="1:13" x14ac:dyDescent="0.3">
      <c r="A7" s="75" t="s">
        <v>175</v>
      </c>
      <c r="B7" s="76"/>
      <c r="C7" s="82" t="s">
        <v>47</v>
      </c>
      <c r="D7" s="84">
        <v>55.0320347480503</v>
      </c>
      <c r="E7" s="84">
        <v>54.989044953797702</v>
      </c>
      <c r="F7" s="84">
        <v>54.989044953797702</v>
      </c>
      <c r="G7" s="84">
        <v>55.004044953797703</v>
      </c>
      <c r="H7" s="80" t="s">
        <v>74</v>
      </c>
      <c r="I7" s="90" t="str">
        <f>IF(ISBLANK(H7),"N/A",IF(ISNA(H7/G7-1),"N/A",IF(ISERROR(H7/G7-1),"N/A",H7/G7-1)))</f>
        <v>N/A</v>
      </c>
      <c r="J7" s="84">
        <f t="shared" si="2"/>
        <v>55.00354240236085</v>
      </c>
      <c r="K7" s="90" t="str">
        <f t="shared" si="3"/>
        <v>N/A</v>
      </c>
      <c r="L7" s="76" t="s">
        <v>363</v>
      </c>
      <c r="M7" s="91" t="s">
        <v>174</v>
      </c>
    </row>
    <row r="8" spans="1:13" x14ac:dyDescent="0.3">
      <c r="A8" s="75" t="s">
        <v>176</v>
      </c>
      <c r="B8" s="76"/>
      <c r="C8" s="82" t="s">
        <v>177</v>
      </c>
      <c r="D8" s="98">
        <v>5747.0586569999996</v>
      </c>
      <c r="E8" s="98">
        <v>3927.0926420000001</v>
      </c>
      <c r="F8" s="98">
        <v>3469.2511839999902</v>
      </c>
      <c r="G8" s="98">
        <v>3495.9504120000001</v>
      </c>
      <c r="H8" s="80" t="s">
        <v>74</v>
      </c>
      <c r="I8" s="90" t="str">
        <f t="shared" si="1"/>
        <v>N/A</v>
      </c>
      <c r="J8" s="84">
        <f t="shared" si="2"/>
        <v>4159.8382237499973</v>
      </c>
      <c r="K8" s="90" t="str">
        <f t="shared" si="3"/>
        <v>N/A</v>
      </c>
      <c r="L8" s="76" t="s">
        <v>363</v>
      </c>
      <c r="M8" s="91" t="s">
        <v>174</v>
      </c>
    </row>
    <row r="9" spans="1:13" x14ac:dyDescent="0.3">
      <c r="A9" s="75" t="s">
        <v>178</v>
      </c>
      <c r="B9" s="76"/>
      <c r="C9" s="82" t="s">
        <v>177</v>
      </c>
      <c r="D9" s="98">
        <v>697.58842742533307</v>
      </c>
      <c r="E9" s="98">
        <v>827.92774342533403</v>
      </c>
      <c r="F9" s="98">
        <v>836.71497642533109</v>
      </c>
      <c r="G9" s="98">
        <v>1017.114423999999</v>
      </c>
      <c r="H9" s="80" t="s">
        <v>74</v>
      </c>
      <c r="I9" s="90" t="str">
        <f t="shared" si="1"/>
        <v>N/A</v>
      </c>
      <c r="J9" s="84">
        <f t="shared" si="2"/>
        <v>844.83639281899934</v>
      </c>
      <c r="K9" s="90" t="str">
        <f t="shared" si="3"/>
        <v>N/A</v>
      </c>
      <c r="L9" s="76" t="s">
        <v>363</v>
      </c>
      <c r="M9" s="91" t="s">
        <v>174</v>
      </c>
    </row>
    <row r="10" spans="1:13" x14ac:dyDescent="0.3">
      <c r="A10" s="75" t="s">
        <v>179</v>
      </c>
      <c r="B10" s="76"/>
      <c r="C10" s="77" t="s">
        <v>180</v>
      </c>
      <c r="D10" s="89">
        <f t="shared" ref="D10:G11" si="4">1000*D4/D8</f>
        <v>62.782423726063257</v>
      </c>
      <c r="E10" s="89">
        <f t="shared" si="4"/>
        <v>72.526096619449973</v>
      </c>
      <c r="F10" s="89">
        <f t="shared" si="4"/>
        <v>82.203828739112936</v>
      </c>
      <c r="G10" s="89">
        <f t="shared" si="4"/>
        <v>87.064030799961756</v>
      </c>
      <c r="H10" s="80" t="s">
        <v>74</v>
      </c>
      <c r="I10" s="90" t="str">
        <f t="shared" si="1"/>
        <v>N/A</v>
      </c>
      <c r="J10" s="84">
        <f t="shared" si="2"/>
        <v>76.144094971146984</v>
      </c>
      <c r="K10" s="90" t="str">
        <f t="shared" si="3"/>
        <v>N/A</v>
      </c>
      <c r="L10" s="76" t="s">
        <v>363</v>
      </c>
      <c r="M10" s="91" t="s">
        <v>174</v>
      </c>
    </row>
    <row r="11" spans="1:13" x14ac:dyDescent="0.3">
      <c r="A11" s="75" t="s">
        <v>181</v>
      </c>
      <c r="B11" s="76"/>
      <c r="C11" s="77" t="s">
        <v>180</v>
      </c>
      <c r="D11" s="89">
        <f t="shared" si="4"/>
        <v>135.58223353455503</v>
      </c>
      <c r="E11" s="89">
        <f t="shared" si="4"/>
        <v>133.79018535833555</v>
      </c>
      <c r="F11" s="89">
        <f t="shared" si="4"/>
        <v>133.63701079853962</v>
      </c>
      <c r="G11" s="89">
        <f t="shared" si="4"/>
        <v>133.53761424969775</v>
      </c>
      <c r="H11" s="80" t="s">
        <v>74</v>
      </c>
      <c r="I11" s="90" t="str">
        <f t="shared" si="1"/>
        <v>N/A</v>
      </c>
      <c r="J11" s="84">
        <f t="shared" si="2"/>
        <v>134.13676098528197</v>
      </c>
      <c r="K11" s="90" t="str">
        <f t="shared" si="3"/>
        <v>N/A</v>
      </c>
      <c r="L11" s="76" t="s">
        <v>363</v>
      </c>
      <c r="M11" s="91" t="s">
        <v>174</v>
      </c>
    </row>
    <row r="12" spans="1:13" x14ac:dyDescent="0.3">
      <c r="A12" s="146" t="s">
        <v>56</v>
      </c>
      <c r="B12" s="85" t="s">
        <v>57</v>
      </c>
      <c r="C12" s="77" t="s">
        <v>45</v>
      </c>
      <c r="D12" s="78">
        <v>114.69051399999999</v>
      </c>
      <c r="E12" s="78">
        <v>57.668880999999999</v>
      </c>
      <c r="F12" s="78">
        <v>34.660277000000001</v>
      </c>
      <c r="G12" s="78">
        <v>43.921171999999999</v>
      </c>
      <c r="H12" s="78">
        <v>42.041857999999998</v>
      </c>
      <c r="I12" s="90">
        <f t="shared" si="1"/>
        <v>-4.278833907255486E-2</v>
      </c>
      <c r="J12" s="78">
        <f t="shared" si="2"/>
        <v>58.596540400000002</v>
      </c>
      <c r="K12" s="90">
        <f t="shared" si="3"/>
        <v>-0.28251979190225374</v>
      </c>
      <c r="L12" s="76" t="s">
        <v>58</v>
      </c>
      <c r="M12" s="92" t="s">
        <v>59</v>
      </c>
    </row>
    <row r="13" spans="1:13" x14ac:dyDescent="0.3">
      <c r="A13" s="146"/>
      <c r="B13" s="78" t="s">
        <v>432</v>
      </c>
      <c r="C13" s="77" t="s">
        <v>45</v>
      </c>
      <c r="D13" s="78">
        <v>9.3004309999999997</v>
      </c>
      <c r="E13" s="78">
        <v>15.759029</v>
      </c>
      <c r="F13" s="78">
        <v>14.047753999999999</v>
      </c>
      <c r="G13" s="78">
        <v>20.332021000000001</v>
      </c>
      <c r="H13" s="78">
        <v>18.39537</v>
      </c>
      <c r="I13" s="90">
        <f t="shared" si="1"/>
        <v>-9.5251278758761937E-2</v>
      </c>
      <c r="J13" s="78">
        <f t="shared" si="2"/>
        <v>15.566920999999999</v>
      </c>
      <c r="K13" s="90">
        <f t="shared" si="3"/>
        <v>0.18169611061814983</v>
      </c>
      <c r="L13" s="76" t="s">
        <v>58</v>
      </c>
      <c r="M13" s="92" t="s">
        <v>59</v>
      </c>
    </row>
    <row r="14" spans="1:13" x14ac:dyDescent="0.3">
      <c r="A14" s="146"/>
      <c r="B14" s="78" t="s">
        <v>426</v>
      </c>
      <c r="C14" s="77" t="s">
        <v>45</v>
      </c>
      <c r="D14" s="78">
        <v>74.473309</v>
      </c>
      <c r="E14" s="78">
        <v>0.188419</v>
      </c>
      <c r="F14" s="78">
        <v>0.290439</v>
      </c>
      <c r="G14" s="78">
        <v>3.194474</v>
      </c>
      <c r="H14" s="78">
        <v>3.4805440000000001</v>
      </c>
      <c r="I14" s="90">
        <f t="shared" si="1"/>
        <v>8.9551519279856384E-2</v>
      </c>
      <c r="J14" s="78">
        <f t="shared" si="2"/>
        <v>16.325437000000001</v>
      </c>
      <c r="K14" s="90">
        <f t="shared" si="3"/>
        <v>-0.78680239922520911</v>
      </c>
      <c r="L14" s="76" t="s">
        <v>58</v>
      </c>
      <c r="M14" s="92" t="s">
        <v>59</v>
      </c>
    </row>
    <row r="15" spans="1:13" x14ac:dyDescent="0.3">
      <c r="A15" s="146"/>
      <c r="B15" s="78" t="s">
        <v>444</v>
      </c>
      <c r="C15" s="77" t="s">
        <v>45</v>
      </c>
      <c r="D15" s="78">
        <v>14.915404000000001</v>
      </c>
      <c r="E15" s="78">
        <v>25.476046</v>
      </c>
      <c r="F15" s="78">
        <v>6.1070130000000002</v>
      </c>
      <c r="G15" s="78">
        <v>1.580252</v>
      </c>
      <c r="H15" s="78">
        <v>1.106428</v>
      </c>
      <c r="I15" s="90">
        <f t="shared" si="1"/>
        <v>-0.29984078488747368</v>
      </c>
      <c r="J15" s="78">
        <f t="shared" si="2"/>
        <v>9.8370286</v>
      </c>
      <c r="K15" s="90">
        <f t="shared" si="3"/>
        <v>-0.88752416557983782</v>
      </c>
      <c r="L15" s="76" t="s">
        <v>58</v>
      </c>
      <c r="M15" s="92" t="s">
        <v>59</v>
      </c>
    </row>
    <row r="16" spans="1:13" x14ac:dyDescent="0.3">
      <c r="A16" s="75" t="s">
        <v>60</v>
      </c>
      <c r="B16" s="85" t="s">
        <v>57</v>
      </c>
      <c r="C16" s="77" t="s">
        <v>45</v>
      </c>
      <c r="D16" s="78">
        <v>114.95793574999999</v>
      </c>
      <c r="E16" s="78">
        <v>233.99472201</v>
      </c>
      <c r="F16" s="78">
        <v>177.14774927000002</v>
      </c>
      <c r="G16" s="78">
        <v>147.51827825000001</v>
      </c>
      <c r="H16" s="78">
        <v>144.44746132000003</v>
      </c>
      <c r="I16" s="90">
        <f t="shared" si="1"/>
        <v>-2.0816518240511561E-2</v>
      </c>
      <c r="J16" s="78">
        <f t="shared" si="2"/>
        <v>163.61322932000002</v>
      </c>
      <c r="K16" s="90">
        <f t="shared" si="3"/>
        <v>-0.11714069870545096</v>
      </c>
      <c r="L16" s="76" t="s">
        <v>58</v>
      </c>
      <c r="M16" s="92" t="s">
        <v>59</v>
      </c>
    </row>
    <row r="17" spans="1:13" x14ac:dyDescent="0.3">
      <c r="A17" s="86" t="s">
        <v>61</v>
      </c>
      <c r="B17" s="87" t="s">
        <v>57</v>
      </c>
      <c r="C17" s="88" t="s">
        <v>45</v>
      </c>
      <c r="D17" s="78">
        <f>+D12-D16</f>
        <v>-0.2674217499999969</v>
      </c>
      <c r="E17" s="78">
        <f t="shared" ref="E17:H17" si="5">+E12-E16</f>
        <v>-176.32584101</v>
      </c>
      <c r="F17" s="78">
        <f t="shared" si="5"/>
        <v>-142.48747227000001</v>
      </c>
      <c r="G17" s="78">
        <f t="shared" si="5"/>
        <v>-103.59710625000001</v>
      </c>
      <c r="H17" s="78">
        <f t="shared" si="5"/>
        <v>-102.40560332000004</v>
      </c>
      <c r="I17" s="90">
        <f t="shared" si="1"/>
        <v>-1.1501314786965589E-2</v>
      </c>
      <c r="J17" s="78">
        <f t="shared" si="2"/>
        <v>-105.01668892000002</v>
      </c>
      <c r="K17" s="90">
        <f t="shared" si="3"/>
        <v>-2.4863530043201632E-2</v>
      </c>
      <c r="L17" s="76" t="s">
        <v>58</v>
      </c>
      <c r="M17" s="92" t="s">
        <v>59</v>
      </c>
    </row>
    <row r="18" spans="1:13" x14ac:dyDescent="0.3">
      <c r="A18" s="13" t="s">
        <v>62</v>
      </c>
    </row>
    <row r="19" spans="1:13" x14ac:dyDescent="0.3">
      <c r="A19" s="13" t="s">
        <v>383</v>
      </c>
    </row>
    <row r="20" spans="1:13" x14ac:dyDescent="0.3">
      <c r="A20" s="13" t="s">
        <v>63</v>
      </c>
    </row>
    <row r="21" spans="1:13" x14ac:dyDescent="0.3">
      <c r="A21" s="13" t="s">
        <v>183</v>
      </c>
    </row>
    <row r="52" spans="81:81" x14ac:dyDescent="0.3">
      <c r="CC52">
        <v>0</v>
      </c>
    </row>
  </sheetData>
  <mergeCells count="1">
    <mergeCell ref="A12:A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D150-6F1B-45FE-9B37-6676A2B5C291}">
  <sheetPr codeName="Sheet21"/>
  <dimension ref="A1:W328"/>
  <sheetViews>
    <sheetView workbookViewId="0"/>
  </sheetViews>
  <sheetFormatPr defaultRowHeight="14.4" x14ac:dyDescent="0.3"/>
  <cols>
    <col min="1" max="1" width="35.5546875" bestFit="1" customWidth="1"/>
    <col min="2" max="2" width="10.44140625" bestFit="1" customWidth="1"/>
    <col min="3" max="3" width="11.109375" bestFit="1" customWidth="1"/>
    <col min="7" max="7" width="11.88671875" bestFit="1" customWidth="1"/>
    <col min="9" max="11" width="10.6640625" customWidth="1"/>
  </cols>
  <sheetData>
    <row r="1" spans="1:13" x14ac:dyDescent="0.3">
      <c r="A1" s="111" t="s">
        <v>28</v>
      </c>
      <c r="B1" s="111"/>
      <c r="C1" s="111"/>
      <c r="D1" s="111"/>
      <c r="E1" s="111"/>
      <c r="F1" s="111"/>
      <c r="G1" s="111"/>
      <c r="H1" s="111"/>
      <c r="I1" s="111"/>
      <c r="J1" s="111"/>
      <c r="K1" s="111"/>
      <c r="L1" s="111"/>
      <c r="M1" s="111"/>
    </row>
    <row r="2" spans="1:13" x14ac:dyDescent="0.3">
      <c r="A2" s="112" t="s">
        <v>36</v>
      </c>
      <c r="B2" s="108" t="s">
        <v>37</v>
      </c>
      <c r="C2" s="113"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75" t="s">
        <v>169</v>
      </c>
      <c r="B3" s="76"/>
      <c r="C3" s="77" t="s">
        <v>45</v>
      </c>
      <c r="D3" s="78">
        <f>+SUM(D4:D5)</f>
        <v>201.35968100000002</v>
      </c>
      <c r="E3" s="78">
        <f t="shared" ref="E3:H3" si="0">+SUM(E4:E5)</f>
        <v>203.23558300000002</v>
      </c>
      <c r="F3" s="78">
        <f t="shared" si="0"/>
        <v>208.90992599999998</v>
      </c>
      <c r="G3" s="78">
        <f t="shared" si="0"/>
        <v>215.02218399999998</v>
      </c>
      <c r="H3" s="78">
        <f t="shared" si="0"/>
        <v>222.65189882060099</v>
      </c>
      <c r="I3" s="79">
        <f t="shared" ref="I3:I15" si="1">IF(ISBLANK(H3),"N/A",IF(ISNA(H3/G3-1),"N/A",IF(ISERROR(H3/G3-1),"N/A",H3/G3-1)))</f>
        <v>3.5483384452094535E-2</v>
      </c>
      <c r="J3" s="78">
        <f t="shared" ref="J3:J15" si="2">IF(ISBLANK(H3),"",IF(ISNA(AVERAGE(D3:H3)),"N/A",IF(ISERROR(AVERAGE(D3:H3)),"N/A",AVERAGE(D3:H3))))</f>
        <v>210.23585456412019</v>
      </c>
      <c r="K3" s="79">
        <f t="shared" ref="K3:K15" si="3">IF(ISBLANK(H3),"",IF(ISNA(H3/AVERAGE(D3:H3)-1),"N/A",IF(ISERROR(H3/AVERAGE(D3:H3)-1),"N/A",H3/AVERAGE(D3:H3)-1)))</f>
        <v>5.9057691573223048E-2</v>
      </c>
      <c r="L3" s="80" t="s">
        <v>184</v>
      </c>
      <c r="M3" s="80"/>
    </row>
    <row r="4" spans="1:13" x14ac:dyDescent="0.3">
      <c r="A4" s="75" t="s">
        <v>185</v>
      </c>
      <c r="B4" s="76"/>
      <c r="C4" s="77" t="s">
        <v>45</v>
      </c>
      <c r="D4" s="78">
        <f>98432681/1000000</f>
        <v>98.432681000000002</v>
      </c>
      <c r="E4" s="78">
        <f>105222483/1000000</f>
        <v>105.222483</v>
      </c>
      <c r="F4" s="78">
        <f>113203626/1000000</f>
        <v>113.203626</v>
      </c>
      <c r="G4" s="78">
        <f>112089284/1000000</f>
        <v>112.08928400000001</v>
      </c>
      <c r="H4" s="78">
        <v>112.62155123826354</v>
      </c>
      <c r="I4" s="79">
        <f t="shared" si="1"/>
        <v>4.7486005733030634E-3</v>
      </c>
      <c r="J4" s="78">
        <f t="shared" si="2"/>
        <v>108.31392504765272</v>
      </c>
      <c r="K4" s="79">
        <f t="shared" si="3"/>
        <v>3.9769828198134904E-2</v>
      </c>
      <c r="L4" s="80" t="s">
        <v>186</v>
      </c>
      <c r="M4" s="80" t="s">
        <v>187</v>
      </c>
    </row>
    <row r="5" spans="1:13" x14ac:dyDescent="0.3">
      <c r="A5" s="75" t="s">
        <v>188</v>
      </c>
      <c r="B5" s="76"/>
      <c r="C5" s="77" t="s">
        <v>45</v>
      </c>
      <c r="D5" s="78">
        <v>102.92700000000001</v>
      </c>
      <c r="E5" s="78">
        <v>98.013100000000009</v>
      </c>
      <c r="F5" s="78">
        <v>95.706299999999999</v>
      </c>
      <c r="G5" s="78">
        <v>102.93289999999999</v>
      </c>
      <c r="H5" s="78">
        <v>110.03034758233746</v>
      </c>
      <c r="I5" s="79">
        <f t="shared" si="1"/>
        <v>6.8952177412056503E-2</v>
      </c>
      <c r="J5" s="78">
        <f t="shared" si="2"/>
        <v>101.92192951646749</v>
      </c>
      <c r="K5" s="79">
        <f t="shared" si="3"/>
        <v>7.9555186056008642E-2</v>
      </c>
      <c r="L5" s="80" t="s">
        <v>374</v>
      </c>
      <c r="M5" s="80" t="s">
        <v>376</v>
      </c>
    </row>
    <row r="6" spans="1:13" x14ac:dyDescent="0.3">
      <c r="A6" s="75" t="s">
        <v>189</v>
      </c>
      <c r="B6" s="76"/>
      <c r="C6" s="82" t="s">
        <v>190</v>
      </c>
      <c r="D6" s="83">
        <v>5.486802</v>
      </c>
      <c r="E6" s="83">
        <v>5.5529999999999999</v>
      </c>
      <c r="F6" s="83">
        <f>5.7781+0.3932</f>
        <v>6.1713000000000005</v>
      </c>
      <c r="G6" s="83">
        <f>5.15316+0.624924+0.015866</f>
        <v>5.7939499999999997</v>
      </c>
      <c r="H6" s="80" t="s">
        <v>74</v>
      </c>
      <c r="I6" s="79" t="str">
        <f t="shared" si="1"/>
        <v>N/A</v>
      </c>
      <c r="J6" s="83">
        <f t="shared" si="2"/>
        <v>5.7512629999999998</v>
      </c>
      <c r="K6" s="79" t="str">
        <f t="shared" si="3"/>
        <v>N/A</v>
      </c>
      <c r="L6" s="80" t="s">
        <v>186</v>
      </c>
      <c r="M6" s="80" t="s">
        <v>187</v>
      </c>
    </row>
    <row r="7" spans="1:13" x14ac:dyDescent="0.3">
      <c r="A7" s="75" t="s">
        <v>191</v>
      </c>
      <c r="B7" s="76"/>
      <c r="C7" s="82" t="s">
        <v>51</v>
      </c>
      <c r="D7" s="83">
        <v>5.0069999999999997</v>
      </c>
      <c r="E7" s="83">
        <v>5.0890000000000004</v>
      </c>
      <c r="F7" s="83">
        <v>4.399</v>
      </c>
      <c r="G7" s="83">
        <v>4.4390000000000001</v>
      </c>
      <c r="H7" s="80" t="s">
        <v>74</v>
      </c>
      <c r="I7" s="79" t="str">
        <f t="shared" si="1"/>
        <v>N/A</v>
      </c>
      <c r="J7" s="83">
        <f t="shared" si="2"/>
        <v>4.7335000000000003</v>
      </c>
      <c r="K7" s="79" t="str">
        <f t="shared" si="3"/>
        <v>N/A</v>
      </c>
      <c r="L7" s="80" t="s">
        <v>374</v>
      </c>
      <c r="M7" s="80" t="s">
        <v>372</v>
      </c>
    </row>
    <row r="8" spans="1:13" x14ac:dyDescent="0.3">
      <c r="A8" s="75" t="s">
        <v>192</v>
      </c>
      <c r="B8" s="76"/>
      <c r="C8" s="82" t="s">
        <v>51</v>
      </c>
      <c r="D8" s="83">
        <v>11.547700000000001</v>
      </c>
      <c r="E8" s="83">
        <v>9.4197999999999986</v>
      </c>
      <c r="F8" s="83">
        <v>9.9603999999999999</v>
      </c>
      <c r="G8" s="83">
        <v>10.471399999999999</v>
      </c>
      <c r="H8" s="80" t="s">
        <v>74</v>
      </c>
      <c r="I8" s="79" t="str">
        <f t="shared" si="1"/>
        <v>N/A</v>
      </c>
      <c r="J8" s="83">
        <f t="shared" si="2"/>
        <v>10.349824999999999</v>
      </c>
      <c r="K8" s="79" t="str">
        <f t="shared" si="3"/>
        <v>N/A</v>
      </c>
      <c r="L8" s="80" t="s">
        <v>374</v>
      </c>
      <c r="M8" s="80" t="s">
        <v>372</v>
      </c>
    </row>
    <row r="9" spans="1:13" x14ac:dyDescent="0.3">
      <c r="A9" s="75" t="s">
        <v>193</v>
      </c>
      <c r="B9" s="76"/>
      <c r="C9" s="77" t="s">
        <v>102</v>
      </c>
      <c r="D9" s="84">
        <v>120.77499999999999</v>
      </c>
      <c r="E9" s="84">
        <v>121.97499999999999</v>
      </c>
      <c r="F9" s="84">
        <v>131.80000000000001</v>
      </c>
      <c r="G9" s="84">
        <v>140.92499999999998</v>
      </c>
      <c r="H9" s="84">
        <v>141.35</v>
      </c>
      <c r="I9" s="79">
        <f t="shared" si="1"/>
        <v>3.0157885400037276E-3</v>
      </c>
      <c r="J9" s="84">
        <f t="shared" si="2"/>
        <v>131.36500000000001</v>
      </c>
      <c r="K9" s="79">
        <f t="shared" si="3"/>
        <v>7.60095915959349E-2</v>
      </c>
      <c r="L9" s="80" t="s">
        <v>375</v>
      </c>
      <c r="M9" s="81" t="s">
        <v>373</v>
      </c>
    </row>
    <row r="10" spans="1:13" x14ac:dyDescent="0.3">
      <c r="A10" s="146" t="s">
        <v>56</v>
      </c>
      <c r="B10" s="85" t="s">
        <v>57</v>
      </c>
      <c r="C10" s="77" t="s">
        <v>45</v>
      </c>
      <c r="D10" s="78">
        <v>28.931595999999999</v>
      </c>
      <c r="E10" s="78">
        <v>36.218226000000001</v>
      </c>
      <c r="F10" s="78">
        <v>62.468314999999997</v>
      </c>
      <c r="G10" s="78">
        <v>46.578626</v>
      </c>
      <c r="H10" s="78">
        <v>51.836208999999997</v>
      </c>
      <c r="I10" s="79">
        <f t="shared" si="1"/>
        <v>0.11287544205361488</v>
      </c>
      <c r="J10" s="78">
        <f t="shared" si="2"/>
        <v>45.206594399999993</v>
      </c>
      <c r="K10" s="79">
        <f t="shared" si="3"/>
        <v>0.14665149383604104</v>
      </c>
      <c r="L10" s="76" t="s">
        <v>58</v>
      </c>
      <c r="M10" s="92" t="s">
        <v>59</v>
      </c>
    </row>
    <row r="11" spans="1:13" x14ac:dyDescent="0.3">
      <c r="A11" s="146"/>
      <c r="B11" s="78" t="s">
        <v>428</v>
      </c>
      <c r="C11" s="77" t="s">
        <v>45</v>
      </c>
      <c r="D11" s="78">
        <v>9.9273500000000006</v>
      </c>
      <c r="E11" s="78">
        <v>4.4715400000000001</v>
      </c>
      <c r="F11" s="78">
        <v>7.4532400000000001</v>
      </c>
      <c r="G11" s="78">
        <v>9.9909870000000005</v>
      </c>
      <c r="H11" s="78">
        <v>23.10877</v>
      </c>
      <c r="I11" s="79">
        <f t="shared" si="1"/>
        <v>1.3129616723552937</v>
      </c>
      <c r="J11" s="78">
        <f t="shared" si="2"/>
        <v>10.9903774</v>
      </c>
      <c r="K11" s="79">
        <f t="shared" si="3"/>
        <v>1.1026366210135787</v>
      </c>
      <c r="L11" s="76" t="s">
        <v>58</v>
      </c>
      <c r="M11" s="92" t="s">
        <v>59</v>
      </c>
    </row>
    <row r="12" spans="1:13" x14ac:dyDescent="0.3">
      <c r="A12" s="146"/>
      <c r="B12" s="78" t="s">
        <v>441</v>
      </c>
      <c r="C12" s="77" t="s">
        <v>45</v>
      </c>
      <c r="D12" s="78">
        <v>5.8365840000000002</v>
      </c>
      <c r="E12" s="78">
        <v>6.7467119999999996</v>
      </c>
      <c r="F12" s="78">
        <v>9.6257520000000003</v>
      </c>
      <c r="G12" s="78">
        <v>10.552432</v>
      </c>
      <c r="H12" s="78">
        <v>11.283068</v>
      </c>
      <c r="I12" s="79">
        <f t="shared" si="1"/>
        <v>6.9238636174106638E-2</v>
      </c>
      <c r="J12" s="78">
        <f t="shared" si="2"/>
        <v>8.8089096000000016</v>
      </c>
      <c r="K12" s="79">
        <f t="shared" si="3"/>
        <v>0.28086999553270453</v>
      </c>
      <c r="L12" s="76" t="s">
        <v>58</v>
      </c>
      <c r="M12" s="92" t="s">
        <v>59</v>
      </c>
    </row>
    <row r="13" spans="1:13" x14ac:dyDescent="0.3">
      <c r="A13" s="146"/>
      <c r="B13" s="78" t="s">
        <v>426</v>
      </c>
      <c r="C13" s="77" t="s">
        <v>45</v>
      </c>
      <c r="D13" s="78">
        <v>5.5677510000000003</v>
      </c>
      <c r="E13" s="78">
        <v>13.517689000000001</v>
      </c>
      <c r="F13" s="78">
        <v>29.343643</v>
      </c>
      <c r="G13" s="78">
        <v>11.629911</v>
      </c>
      <c r="H13" s="78">
        <v>7.6391099999999996</v>
      </c>
      <c r="I13" s="79">
        <f t="shared" si="1"/>
        <v>-0.34314974551395971</v>
      </c>
      <c r="J13" s="78">
        <f t="shared" si="2"/>
        <v>13.5396208</v>
      </c>
      <c r="K13" s="79">
        <f t="shared" si="3"/>
        <v>-0.43579586807925963</v>
      </c>
      <c r="L13" s="76" t="s">
        <v>58</v>
      </c>
      <c r="M13" s="92" t="s">
        <v>59</v>
      </c>
    </row>
    <row r="14" spans="1:13" x14ac:dyDescent="0.3">
      <c r="A14" s="75" t="s">
        <v>60</v>
      </c>
      <c r="B14" s="85" t="s">
        <v>57</v>
      </c>
      <c r="C14" s="77" t="s">
        <v>45</v>
      </c>
      <c r="D14" s="78">
        <v>815.81567428999995</v>
      </c>
      <c r="E14" s="78">
        <v>856.70752047000008</v>
      </c>
      <c r="F14" s="78">
        <v>1007.6283523999999</v>
      </c>
      <c r="G14" s="78">
        <v>938.86720913000011</v>
      </c>
      <c r="H14" s="78">
        <v>972.77464585999996</v>
      </c>
      <c r="I14" s="79">
        <f t="shared" si="1"/>
        <v>3.6115263586018909E-2</v>
      </c>
      <c r="J14" s="78">
        <f t="shared" si="2"/>
        <v>918.35868043000005</v>
      </c>
      <c r="K14" s="79">
        <f t="shared" si="3"/>
        <v>5.9253499302169166E-2</v>
      </c>
      <c r="L14" s="76" t="s">
        <v>58</v>
      </c>
      <c r="M14" s="92" t="s">
        <v>59</v>
      </c>
    </row>
    <row r="15" spans="1:13" x14ac:dyDescent="0.3">
      <c r="A15" s="86" t="s">
        <v>61</v>
      </c>
      <c r="B15" s="87" t="s">
        <v>57</v>
      </c>
      <c r="C15" s="88" t="s">
        <v>45</v>
      </c>
      <c r="D15" s="78">
        <f t="shared" ref="D15:G15" si="4">+D10-D14</f>
        <v>-786.88407828999993</v>
      </c>
      <c r="E15" s="78">
        <f t="shared" si="4"/>
        <v>-820.48929447000012</v>
      </c>
      <c r="F15" s="78">
        <f t="shared" si="4"/>
        <v>-945.16003739999996</v>
      </c>
      <c r="G15" s="78">
        <f t="shared" si="4"/>
        <v>-892.28858313000012</v>
      </c>
      <c r="H15" s="78">
        <f>+H10-H14</f>
        <v>-920.93843685999991</v>
      </c>
      <c r="I15" s="79">
        <f t="shared" si="1"/>
        <v>3.2108282310977065E-2</v>
      </c>
      <c r="J15" s="78">
        <f t="shared" si="2"/>
        <v>-873.15208602999996</v>
      </c>
      <c r="K15" s="79">
        <f t="shared" si="3"/>
        <v>5.4728553701649307E-2</v>
      </c>
      <c r="L15" s="76" t="s">
        <v>58</v>
      </c>
      <c r="M15" s="92" t="s">
        <v>59</v>
      </c>
    </row>
    <row r="16" spans="1:13" x14ac:dyDescent="0.3">
      <c r="A16" s="13" t="s">
        <v>62</v>
      </c>
    </row>
    <row r="17" spans="1:1" x14ac:dyDescent="0.3">
      <c r="A17" s="13" t="s">
        <v>63</v>
      </c>
    </row>
    <row r="18" spans="1:1" x14ac:dyDescent="0.3">
      <c r="A18" s="13" t="s">
        <v>183</v>
      </c>
    </row>
    <row r="19" spans="1:1" x14ac:dyDescent="0.3">
      <c r="A19" s="13" t="s">
        <v>105</v>
      </c>
    </row>
    <row r="328" spans="23:23" x14ac:dyDescent="0.3">
      <c r="W328" t="s">
        <v>377</v>
      </c>
    </row>
  </sheetData>
  <mergeCells count="1">
    <mergeCell ref="A10:A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9A92-F2AC-4133-BCF3-74496D1D5E22}">
  <sheetPr codeName="Sheet22">
    <pageSetUpPr fitToPage="1"/>
  </sheetPr>
  <dimension ref="A1:L41"/>
  <sheetViews>
    <sheetView workbookViewId="0"/>
  </sheetViews>
  <sheetFormatPr defaultRowHeight="14.4" x14ac:dyDescent="0.3"/>
  <cols>
    <col min="1" max="1" width="43" customWidth="1"/>
    <col min="3" max="3" width="11.109375" bestFit="1" customWidth="1"/>
    <col min="4" max="6" width="11" bestFit="1" customWidth="1"/>
    <col min="7" max="7" width="12.44140625" bestFit="1" customWidth="1"/>
    <col min="9" max="9" width="10" bestFit="1" customWidth="1"/>
  </cols>
  <sheetData>
    <row r="1" spans="1:12" ht="46.8" x14ac:dyDescent="0.3">
      <c r="A1" s="5" t="s">
        <v>194</v>
      </c>
      <c r="B1" s="5" t="s">
        <v>38</v>
      </c>
      <c r="C1" s="5" t="s">
        <v>195</v>
      </c>
      <c r="D1" s="5" t="s">
        <v>196</v>
      </c>
      <c r="E1" s="5" t="s">
        <v>197</v>
      </c>
      <c r="F1" s="5" t="s">
        <v>198</v>
      </c>
      <c r="G1" s="5" t="s">
        <v>199</v>
      </c>
      <c r="H1" s="40" t="s">
        <v>39</v>
      </c>
      <c r="I1" s="19" t="s">
        <v>111</v>
      </c>
      <c r="J1" s="40" t="s">
        <v>41</v>
      </c>
      <c r="K1" s="9" t="s">
        <v>42</v>
      </c>
      <c r="L1" s="9" t="s">
        <v>43</v>
      </c>
    </row>
    <row r="2" spans="1:12" x14ac:dyDescent="0.3">
      <c r="A2" s="9" t="s">
        <v>200</v>
      </c>
      <c r="B2" s="70" t="s">
        <v>45</v>
      </c>
      <c r="C2" s="66">
        <f>+SUM(C3:C11)</f>
        <v>8096.0129627799997</v>
      </c>
      <c r="D2" s="66">
        <f t="shared" ref="D2:G2" si="0">+SUM(D3:D11)</f>
        <v>11432.9266897011</v>
      </c>
      <c r="E2" s="66">
        <f t="shared" si="0"/>
        <v>10021.600281738887</v>
      </c>
      <c r="F2" s="66">
        <f t="shared" si="0"/>
        <v>8701.239864561041</v>
      </c>
      <c r="G2" s="66">
        <f t="shared" si="0"/>
        <v>11551.717246328724</v>
      </c>
      <c r="H2" s="67">
        <f t="shared" ref="H2:H31" si="1">IF(ISBLANK(G2),"N/A",IF(ISNA(G2/F2-1),"N/A",IF(ISERROR(G2/F2-1),"N/A",G2/F2-1)))</f>
        <v>0.32759439184952099</v>
      </c>
      <c r="I2" s="68">
        <f t="shared" ref="I2:I31" si="2">IF(ISBLANK(G2),"",IF(ISNA(AVERAGE(C2:G2)),"N/A",IF(ISERROR(AVERAGE(C2:G2)),"N/A",AVERAGE(C2:G2))))</f>
        <v>9960.6994090219523</v>
      </c>
      <c r="J2" s="67">
        <f t="shared" ref="J2:J31" si="3">IF(ISBLANK(G2),"",IF(ISNA(G2/AVERAGE(C2:G2)-1),"N/A",IF(ISERROR(G2/AVERAGE(C2:G2)-1),"N/A",G2/AVERAGE(C2:G2)-1)))</f>
        <v>0.15972953022412262</v>
      </c>
      <c r="K2" s="13"/>
      <c r="L2" s="13"/>
    </row>
    <row r="3" spans="1:12" x14ac:dyDescent="0.3">
      <c r="A3" s="22" t="s">
        <v>9</v>
      </c>
      <c r="B3" s="71" t="s">
        <v>45</v>
      </c>
      <c r="C3" s="72">
        <f>+Wheat!D3</f>
        <v>3815.9025056</v>
      </c>
      <c r="D3" s="72">
        <f>+Wheat!E3</f>
        <v>3888.1594585195617</v>
      </c>
      <c r="E3" s="72">
        <f>+Wheat!F3</f>
        <v>4168.4587260281896</v>
      </c>
      <c r="F3" s="72">
        <f>+Wheat!G3</f>
        <v>3018.9142746450239</v>
      </c>
      <c r="G3" s="72">
        <f>+Wheat!H3</f>
        <v>4311.3477000000003</v>
      </c>
      <c r="H3" s="73">
        <f t="shared" si="1"/>
        <v>0.42811199914146147</v>
      </c>
      <c r="I3" s="74">
        <f t="shared" si="2"/>
        <v>3840.5565329585543</v>
      </c>
      <c r="J3" s="73">
        <f t="shared" si="3"/>
        <v>0.12258410024725608</v>
      </c>
      <c r="K3" s="69" t="str">
        <f>+Wheat!L3</f>
        <v>ABS (2025)</v>
      </c>
      <c r="L3" s="69" t="str">
        <f>+Wheat!M3</f>
        <v>Australian Bureau of Statistics (2025). Australian Agriculture: Broadacre Crops, 2023-24. Last accessed October 2025. 
&lt;https://www.abs.gov.au/statistics/industry/agriculture/australian-agriculture-broadacre-crops/2023-24&gt;</v>
      </c>
    </row>
    <row r="4" spans="1:12" x14ac:dyDescent="0.3">
      <c r="A4" s="22" t="s">
        <v>10</v>
      </c>
      <c r="B4" s="71" t="s">
        <v>45</v>
      </c>
      <c r="C4" s="72">
        <f>+Barley!D3</f>
        <v>938.34993312000006</v>
      </c>
      <c r="D4" s="72">
        <f>+Barley!E3</f>
        <v>964.89864478847949</v>
      </c>
      <c r="E4" s="72">
        <f>+Barley!F3</f>
        <v>686.2408339989845</v>
      </c>
      <c r="F4" s="72">
        <f>+Barley!G3</f>
        <v>675.68122349328178</v>
      </c>
      <c r="G4" s="72">
        <f>+Barley!H3</f>
        <v>1047.2</v>
      </c>
      <c r="H4" s="73">
        <f t="shared" si="1"/>
        <v>0.549843274593248</v>
      </c>
      <c r="I4" s="74">
        <f t="shared" si="2"/>
        <v>862.47412708014929</v>
      </c>
      <c r="J4" s="73">
        <f t="shared" si="3"/>
        <v>0.21418135004841043</v>
      </c>
      <c r="K4" s="69" t="str">
        <f>+Barley!L3</f>
        <v>ABS (2025)</v>
      </c>
      <c r="L4" s="69" t="str">
        <f>+Barley!M3</f>
        <v>Australian Bureau of Statistics (2025). Australian Agriculture: Broadacre Crops, 2023-24. Last accessed October 2025. 
&lt;https://www.abs.gov.au/statistics/industry/agriculture/australian-agriculture-broadacre-crops/2023-24&gt;</v>
      </c>
    </row>
    <row r="5" spans="1:12" x14ac:dyDescent="0.3">
      <c r="A5" s="22" t="s">
        <v>11</v>
      </c>
      <c r="B5" s="71" t="s">
        <v>45</v>
      </c>
      <c r="C5" s="72">
        <f>+Rice!D3</f>
        <v>171.85360383000003</v>
      </c>
      <c r="D5" s="72">
        <f>+Rice!E3</f>
        <v>272.6858424695842</v>
      </c>
      <c r="E5" s="72">
        <f>+Rice!F3</f>
        <v>228.5419739907349</v>
      </c>
      <c r="F5" s="72">
        <f>+Rice!G3</f>
        <v>277.12819929842414</v>
      </c>
      <c r="G5" s="72">
        <f>+Rice!H3</f>
        <v>194.13951</v>
      </c>
      <c r="H5" s="73">
        <f t="shared" si="1"/>
        <v>-0.29945956242821092</v>
      </c>
      <c r="I5" s="74">
        <f t="shared" si="2"/>
        <v>228.86982591774864</v>
      </c>
      <c r="J5" s="73">
        <f t="shared" si="3"/>
        <v>-0.15174702815665198</v>
      </c>
      <c r="K5" s="69" t="str">
        <f>+Rice!L3</f>
        <v>ABS (2025)</v>
      </c>
      <c r="L5" s="69" t="str">
        <f>+Rice!M3</f>
        <v>Australian Bureau of Statistics (2025). Australian Agriculture: Broadacre Crops, 2023-24. Last accessed October 2025. 
&lt;https://www.abs.gov.au/statistics/industry/agriculture/australian-agriculture-broadacre-crops/2023-24&gt;</v>
      </c>
    </row>
    <row r="6" spans="1:12" x14ac:dyDescent="0.3">
      <c r="A6" s="22" t="s">
        <v>201</v>
      </c>
      <c r="B6" s="71" t="s">
        <v>45</v>
      </c>
      <c r="C6" s="72">
        <f>+'Coarse Grains'!D3</f>
        <v>404.62372719999996</v>
      </c>
      <c r="D6" s="72">
        <f>+'Coarse Grains'!E3</f>
        <v>462.48915533921945</v>
      </c>
      <c r="E6" s="72">
        <f>+'Coarse Grains'!F3</f>
        <v>387.95768500000003</v>
      </c>
      <c r="F6" s="72">
        <f>+'Coarse Grains'!G3</f>
        <v>432.27334225605352</v>
      </c>
      <c r="G6" s="72">
        <f>+'Coarse Grains'!H3</f>
        <v>499.73851500000001</v>
      </c>
      <c r="H6" s="73">
        <f t="shared" si="1"/>
        <v>0.15607062973590446</v>
      </c>
      <c r="I6" s="74">
        <f t="shared" si="2"/>
        <v>437.41648495905457</v>
      </c>
      <c r="J6" s="73">
        <f t="shared" si="3"/>
        <v>0.1424775521361048</v>
      </c>
      <c r="K6" s="69" t="str">
        <f>+'Coarse Grains'!L3</f>
        <v>ABS (2025)</v>
      </c>
      <c r="L6" s="69" t="str">
        <f>+'Coarse Grains'!M3</f>
        <v>Australian Bureau of Statistics (2025). Australian Agriculture: Broadacre Crops, 2023-24. Last accessed October 2025. 
&lt;https://www.abs.gov.au/statistics/industry/agriculture/australian-agriculture-broadacre-crops/2023-24&gt;</v>
      </c>
    </row>
    <row r="7" spans="1:12" x14ac:dyDescent="0.3">
      <c r="A7" s="22" t="s">
        <v>13</v>
      </c>
      <c r="B7" s="71" t="s">
        <v>45</v>
      </c>
      <c r="C7" s="72">
        <f>+Pulses!D3</f>
        <v>492.84287260999997</v>
      </c>
      <c r="D7" s="72">
        <f>+Pulses!E3</f>
        <v>501.11580220965408</v>
      </c>
      <c r="E7" s="72">
        <f>+Pulses!F3</f>
        <v>432.85103800000002</v>
      </c>
      <c r="F7" s="72">
        <f>+Pulses!G3</f>
        <v>383.8099441056745</v>
      </c>
      <c r="G7" s="72">
        <f>+Pulses!H3</f>
        <v>1391.7195524901963</v>
      </c>
      <c r="H7" s="73">
        <f t="shared" si="1"/>
        <v>2.6260643421656988</v>
      </c>
      <c r="I7" s="74">
        <f t="shared" si="2"/>
        <v>640.46784188310505</v>
      </c>
      <c r="J7" s="73">
        <f t="shared" si="3"/>
        <v>1.1729733508528066</v>
      </c>
      <c r="K7" s="69" t="str">
        <f>+Pulses!L3</f>
        <v>ABS (2025)</v>
      </c>
      <c r="L7" s="69" t="str">
        <f>+Pulses!M3</f>
        <v>Australian Bureau of Statistics (2025). Australian Agriculture: Broadacre Crops, 2023-24. Last accessed October 2025. 
&lt;https://www.abs.gov.au/statistics/industry/agriculture/australian-agriculture-broadacre-crops/2023-24&gt;</v>
      </c>
    </row>
    <row r="8" spans="1:12" x14ac:dyDescent="0.3">
      <c r="A8" s="22" t="s">
        <v>14</v>
      </c>
      <c r="B8" s="71" t="s">
        <v>45</v>
      </c>
      <c r="C8" s="72">
        <f>+Oilseeds!D3</f>
        <v>887.90232959000002</v>
      </c>
      <c r="D8" s="72">
        <f>+Oilseeds!E3</f>
        <v>1773.1878917674599</v>
      </c>
      <c r="E8" s="72">
        <f>+Oilseeds!F3</f>
        <v>1731.683076</v>
      </c>
      <c r="F8" s="72">
        <f>+Oilseeds!G3</f>
        <v>1287.1489232600863</v>
      </c>
      <c r="G8" s="72">
        <f>+Oilseeds!H3</f>
        <v>1525.8539000000001</v>
      </c>
      <c r="H8" s="73">
        <f t="shared" si="1"/>
        <v>0.18545249304588829</v>
      </c>
      <c r="I8" s="74">
        <f t="shared" si="2"/>
        <v>1441.1552241235092</v>
      </c>
      <c r="J8" s="73">
        <f t="shared" si="3"/>
        <v>5.8771376225627225E-2</v>
      </c>
      <c r="K8" s="69" t="str">
        <f>+Oilseeds!L3</f>
        <v>ABS (2025)</v>
      </c>
      <c r="L8" s="69" t="str">
        <f>+Oilseeds!M3</f>
        <v>Australian Bureau of Statistics (2025). Australian Agriculture: Broadacre Crops, 2023-24. Last accessed October 2025. 
&lt;https://www.abs.gov.au/statistics/industry/agriculture/australian-agriculture-broadacre-crops/2023-24&gt;</v>
      </c>
    </row>
    <row r="9" spans="1:12" x14ac:dyDescent="0.3">
      <c r="A9" s="22" t="s">
        <v>15</v>
      </c>
      <c r="B9" s="71" t="s">
        <v>45</v>
      </c>
      <c r="C9" s="72">
        <f>+'Cotton Lint'!D3</f>
        <v>915.92335097</v>
      </c>
      <c r="D9" s="72">
        <f>+'Cotton Lint'!E3</f>
        <v>2982.5056955388341</v>
      </c>
      <c r="E9" s="72">
        <f>+'Cotton Lint'!F3</f>
        <v>2068.2578879705247</v>
      </c>
      <c r="F9" s="72">
        <f>+'Cotton Lint'!G3</f>
        <v>2146.4453460342365</v>
      </c>
      <c r="G9" s="72">
        <f>+'Cotton Lint'!H3</f>
        <v>1965.0584289799997</v>
      </c>
      <c r="H9" s="73">
        <f t="shared" si="1"/>
        <v>-8.4505723562617874E-2</v>
      </c>
      <c r="I9" s="74">
        <f t="shared" si="2"/>
        <v>2015.6381418987191</v>
      </c>
      <c r="J9" s="73">
        <f t="shared" si="3"/>
        <v>-2.509364744957332E-2</v>
      </c>
      <c r="K9" s="69" t="str">
        <f>+'Cotton Lint'!L3</f>
        <v>ABS (2025)</v>
      </c>
      <c r="L9" s="69" t="str">
        <f>+'Cotton Lint'!M3</f>
        <v>Australian Bureau of Statistics (2025). Australian Agriculture: Broadacre Crops, 2023-24. Last accessed October 2025. 
&lt;https://www.abs.gov.au/statistics/industry/agriculture/australian-agriculture-broadacre-crops/2023-24&gt;</v>
      </c>
    </row>
    <row r="10" spans="1:12" x14ac:dyDescent="0.3">
      <c r="A10" s="22" t="s">
        <v>202</v>
      </c>
      <c r="B10" s="71" t="s">
        <v>45</v>
      </c>
      <c r="C10" s="72">
        <f>+Sugarcane!D3</f>
        <v>73.535230040000002</v>
      </c>
      <c r="D10" s="72">
        <f>+Sugarcane!E3</f>
        <v>70.512253048307514</v>
      </c>
      <c r="E10" s="72">
        <f>+Sugarcane!F3</f>
        <v>55.988692</v>
      </c>
      <c r="F10" s="72">
        <f>+Sugarcane!G3</f>
        <v>87.136425326000008</v>
      </c>
      <c r="G10" s="72">
        <f>+Sugarcane!H3</f>
        <v>90.895544549999997</v>
      </c>
      <c r="H10" s="73">
        <f t="shared" si="1"/>
        <v>4.3140617829296346E-2</v>
      </c>
      <c r="I10" s="74">
        <f t="shared" si="2"/>
        <v>75.613628992861507</v>
      </c>
      <c r="J10" s="73">
        <f t="shared" si="3"/>
        <v>0.20210530509759317</v>
      </c>
      <c r="K10" s="69" t="str">
        <f>+Sugarcane!L3</f>
        <v>ABS (2025)</v>
      </c>
      <c r="L10" s="69" t="str">
        <f>+Sugarcane!M3</f>
        <v>Australian Bureau of Statistics (2025). Australian Agriculture: Broadacre Crops, 2023-24. Last accessed October 2025. 
&lt;https://www.abs.gov.au/statistics/industry/agriculture/australian-agriculture-broadacre-crops/2023-24&gt;</v>
      </c>
    </row>
    <row r="11" spans="1:12" x14ac:dyDescent="0.3">
      <c r="A11" s="22" t="s">
        <v>203</v>
      </c>
      <c r="B11" s="71" t="s">
        <v>45</v>
      </c>
      <c r="C11" s="72">
        <v>395.07940981999997</v>
      </c>
      <c r="D11" s="72">
        <v>517.37194602</v>
      </c>
      <c r="E11" s="72">
        <v>261.62036875045379</v>
      </c>
      <c r="F11" s="72">
        <v>392.70218614226241</v>
      </c>
      <c r="G11" s="72">
        <v>525.76409530852823</v>
      </c>
      <c r="H11" s="73">
        <f t="shared" si="1"/>
        <v>0.3388366906571334</v>
      </c>
      <c r="I11" s="74">
        <f t="shared" si="2"/>
        <v>418.5076012082489</v>
      </c>
      <c r="J11" s="73">
        <f t="shared" si="3"/>
        <v>0.25628326412859725</v>
      </c>
      <c r="K11" s="69"/>
      <c r="L11" s="69"/>
    </row>
    <row r="12" spans="1:12" x14ac:dyDescent="0.3">
      <c r="A12" s="9" t="s">
        <v>204</v>
      </c>
      <c r="B12" s="70" t="s">
        <v>45</v>
      </c>
      <c r="C12" s="66">
        <f>+SUM(C13:C16)</f>
        <v>2286.4347084799997</v>
      </c>
      <c r="D12" s="66">
        <f t="shared" ref="D12:G12" si="4">+SUM(D13:D16)</f>
        <v>2649.9895382339455</v>
      </c>
      <c r="E12" s="66">
        <f t="shared" si="4"/>
        <v>3252.9199999999996</v>
      </c>
      <c r="F12" s="66">
        <f t="shared" si="4"/>
        <v>3483.2</v>
      </c>
      <c r="G12" s="66">
        <f t="shared" si="4"/>
        <v>3745.1052345188882</v>
      </c>
      <c r="H12" s="67">
        <f t="shared" si="1"/>
        <v>7.5190983727287719E-2</v>
      </c>
      <c r="I12" s="68">
        <f t="shared" si="2"/>
        <v>3083.5298962465663</v>
      </c>
      <c r="J12" s="67">
        <f t="shared" si="3"/>
        <v>0.21455129690087515</v>
      </c>
      <c r="K12" s="13"/>
      <c r="L12" s="13"/>
    </row>
    <row r="13" spans="1:12" x14ac:dyDescent="0.3">
      <c r="A13" s="22" t="s">
        <v>205</v>
      </c>
      <c r="B13" s="71" t="s">
        <v>45</v>
      </c>
      <c r="C13" s="72">
        <f>+Horticulture!D4</f>
        <v>1067.19633077</v>
      </c>
      <c r="D13" s="72">
        <f>+Horticulture!E4</f>
        <v>1279.9003590299999</v>
      </c>
      <c r="E13" s="72">
        <f>+Horticulture!F4</f>
        <v>1469.62</v>
      </c>
      <c r="F13" s="72">
        <f>+Horticulture!G4</f>
        <v>1793.5</v>
      </c>
      <c r="G13" s="72">
        <f>+Horticulture!H4</f>
        <v>1955.5539242785624</v>
      </c>
      <c r="H13" s="73">
        <f t="shared" si="1"/>
        <v>9.0356244370539462E-2</v>
      </c>
      <c r="I13" s="74">
        <f t="shared" si="2"/>
        <v>1513.1541228157125</v>
      </c>
      <c r="J13" s="73">
        <f t="shared" si="3"/>
        <v>0.29236929324794891</v>
      </c>
      <c r="K13" s="69" t="str">
        <f>+Horticulture!L4</f>
        <v>ABS (2025d)</v>
      </c>
      <c r="L13" s="69" t="str">
        <f>+Horticulture!M4</f>
        <v>Australian Bureau of Statistics (2025). Australian Agriculture, Horticulture, 2023-24. Last accessed October 2025.</v>
      </c>
    </row>
    <row r="14" spans="1:12" x14ac:dyDescent="0.3">
      <c r="A14" s="22" t="s">
        <v>206</v>
      </c>
      <c r="B14" s="71" t="s">
        <v>45</v>
      </c>
      <c r="C14" s="72">
        <f>+Horticulture!D5</f>
        <v>427.19998650999997</v>
      </c>
      <c r="D14" s="72">
        <f>+Horticulture!E5</f>
        <v>634.05250588000001</v>
      </c>
      <c r="E14" s="72">
        <f>+Horticulture!F5</f>
        <v>658.68</v>
      </c>
      <c r="F14" s="72">
        <f>+Horticulture!G5</f>
        <v>595.5</v>
      </c>
      <c r="G14" s="72">
        <f>+Horticulture!H5</f>
        <v>614.68694064407487</v>
      </c>
      <c r="H14" s="73">
        <f t="shared" si="1"/>
        <v>3.2219883533291194E-2</v>
      </c>
      <c r="I14" s="74">
        <f t="shared" si="2"/>
        <v>586.02388660681504</v>
      </c>
      <c r="J14" s="73">
        <f t="shared" si="3"/>
        <v>4.8911067777841044E-2</v>
      </c>
      <c r="K14" s="69" t="str">
        <f>+Horticulture!L5</f>
        <v>ABS (2025d)</v>
      </c>
      <c r="L14" s="69" t="str">
        <f>+Horticulture!M5</f>
        <v>Australian Bureau of Statistics (2025). Australian Agriculture, Horticulture, 2023-24. Last accessed October 2025.</v>
      </c>
    </row>
    <row r="15" spans="1:12" x14ac:dyDescent="0.3">
      <c r="A15" s="22" t="s">
        <v>207</v>
      </c>
      <c r="B15" s="71" t="s">
        <v>45</v>
      </c>
      <c r="C15" s="72">
        <f>+Horticulture!D6</f>
        <v>539.52643159000002</v>
      </c>
      <c r="D15" s="72">
        <f>+Horticulture!E6</f>
        <v>596.68593376000001</v>
      </c>
      <c r="E15" s="72">
        <f>+Horticulture!F6</f>
        <v>960.1</v>
      </c>
      <c r="F15" s="72">
        <f>+Horticulture!G6</f>
        <v>920.2</v>
      </c>
      <c r="G15" s="72">
        <f>+Horticulture!H6</f>
        <v>965.555210076251</v>
      </c>
      <c r="H15" s="73">
        <f t="shared" si="1"/>
        <v>4.9288426511900685E-2</v>
      </c>
      <c r="I15" s="74">
        <f t="shared" si="2"/>
        <v>796.41351508525031</v>
      </c>
      <c r="J15" s="73">
        <f t="shared" si="3"/>
        <v>0.21237923740268938</v>
      </c>
      <c r="K15" s="69" t="str">
        <f>+Horticulture!L6</f>
        <v>ABS (2025d)</v>
      </c>
      <c r="L15" s="69" t="str">
        <f>+Horticulture!M6</f>
        <v>Australian Bureau of Statistics (2025). Australian Agriculture, Horticulture, 2023-24. Last accessed October 2025.</v>
      </c>
    </row>
    <row r="16" spans="1:12" x14ac:dyDescent="0.3">
      <c r="A16" s="22" t="s">
        <v>106</v>
      </c>
      <c r="B16" s="71" t="s">
        <v>45</v>
      </c>
      <c r="C16" s="72">
        <f>+Wine!D3</f>
        <v>252.51195961000002</v>
      </c>
      <c r="D16" s="72">
        <f>+Wine!E3</f>
        <v>139.35073956394561</v>
      </c>
      <c r="E16" s="72">
        <f>+Wine!F3</f>
        <v>164.52</v>
      </c>
      <c r="F16" s="72">
        <f>+Wine!G3</f>
        <v>174</v>
      </c>
      <c r="G16" s="72">
        <f>+Wine!H3</f>
        <v>209.30915952000001</v>
      </c>
      <c r="H16" s="73">
        <f t="shared" si="1"/>
        <v>0.20292620413793117</v>
      </c>
      <c r="I16" s="74">
        <f t="shared" si="2"/>
        <v>187.93837173878913</v>
      </c>
      <c r="J16" s="73">
        <f t="shared" si="3"/>
        <v>0.11371167890564471</v>
      </c>
      <c r="K16" s="69" t="str">
        <f>+Wine!L3</f>
        <v>WA (2025)</v>
      </c>
      <c r="L16" s="69" t="str">
        <f>+Wine!M3</f>
        <v xml:space="preserve">Wine Australia (2025). National Vintage Report, 2025. Last accessed October 2025. </v>
      </c>
    </row>
    <row r="17" spans="1:12" x14ac:dyDescent="0.3">
      <c r="A17" s="15" t="s">
        <v>208</v>
      </c>
      <c r="B17" s="70" t="s">
        <v>45</v>
      </c>
      <c r="C17" s="66">
        <f>+SUM(C18:C26)</f>
        <v>7098.9203369200013</v>
      </c>
      <c r="D17" s="66">
        <f t="shared" ref="D17:G17" si="5">+SUM(D18:D26)</f>
        <v>7830.488258315263</v>
      </c>
      <c r="E17" s="66">
        <f t="shared" si="5"/>
        <v>8086.2691647455085</v>
      </c>
      <c r="F17" s="66">
        <f t="shared" si="5"/>
        <v>8001.1250610405823</v>
      </c>
      <c r="G17" s="66">
        <f t="shared" si="5"/>
        <v>9492.1438258928556</v>
      </c>
      <c r="H17" s="67">
        <f t="shared" si="1"/>
        <v>0.1863511385558021</v>
      </c>
      <c r="I17" s="68">
        <f t="shared" si="2"/>
        <v>8101.7893293828429</v>
      </c>
      <c r="J17" s="67">
        <f t="shared" si="3"/>
        <v>0.17161079361414644</v>
      </c>
      <c r="K17" s="13"/>
      <c r="L17" s="13"/>
    </row>
    <row r="18" spans="1:12" x14ac:dyDescent="0.3">
      <c r="A18" s="22" t="s">
        <v>209</v>
      </c>
      <c r="B18" s="71" t="s">
        <v>45</v>
      </c>
      <c r="C18" s="72">
        <f>+Beef!D3</f>
        <v>2751.7723313000001</v>
      </c>
      <c r="D18" s="72">
        <f>+Beef!E3</f>
        <v>3332.7019005474381</v>
      </c>
      <c r="E18" s="72">
        <f>+Beef!F3</f>
        <v>3110.41428</v>
      </c>
      <c r="F18" s="72">
        <f>+Beef!G3</f>
        <v>3048.5934680999999</v>
      </c>
      <c r="G18" s="72">
        <f>+Beef!H3</f>
        <v>3935.6428346999996</v>
      </c>
      <c r="H18" s="73">
        <f t="shared" si="1"/>
        <v>0.29097004106383628</v>
      </c>
      <c r="I18" s="74">
        <f t="shared" si="2"/>
        <v>3235.8249629294878</v>
      </c>
      <c r="J18" s="73">
        <f t="shared" si="3"/>
        <v>0.21627185641615987</v>
      </c>
      <c r="K18" s="69" t="str">
        <f>+Beef!L3</f>
        <v>ABS (2025b)</v>
      </c>
      <c r="L18" s="69" t="str">
        <f>+Beef!M3</f>
        <v>Australian Bureau of Statistics (2025). 7215.0 Livestock Products, Australia. Last accessed September 2025.</v>
      </c>
    </row>
    <row r="19" spans="1:12" x14ac:dyDescent="0.3">
      <c r="A19" s="22" t="s">
        <v>210</v>
      </c>
      <c r="B19" s="71" t="s">
        <v>45</v>
      </c>
      <c r="C19" s="72">
        <f>+'Sheep Meat'!D3</f>
        <v>1359.9500029999999</v>
      </c>
      <c r="D19" s="72">
        <f>+'Sheep Meat'!E3</f>
        <v>1262.4716682000001</v>
      </c>
      <c r="E19" s="72">
        <f>+'Sheep Meat'!F3</f>
        <v>1484.794792164907</v>
      </c>
      <c r="F19" s="72">
        <f>+'Sheep Meat'!G3</f>
        <v>1214.6322937</v>
      </c>
      <c r="G19" s="72">
        <f>+'Sheep Meat'!H3</f>
        <v>1721.1612914</v>
      </c>
      <c r="H19" s="73">
        <f t="shared" si="1"/>
        <v>0.41702250164699373</v>
      </c>
      <c r="I19" s="74">
        <f t="shared" si="2"/>
        <v>1408.6020096929813</v>
      </c>
      <c r="J19" s="73">
        <f t="shared" si="3"/>
        <v>0.2218932527117039</v>
      </c>
      <c r="K19" s="69" t="str">
        <f>+'Sheep Meat'!L3</f>
        <v>ABS (2025b)</v>
      </c>
      <c r="L19" s="69" t="str">
        <f>+'Sheep Meat'!M3</f>
        <v>Australian Bureau of Statistics (2025). 7215.0 Livestock Products, Australia. Last accessed September 2025.</v>
      </c>
    </row>
    <row r="20" spans="1:12" x14ac:dyDescent="0.3">
      <c r="A20" s="22" t="s">
        <v>211</v>
      </c>
      <c r="B20" s="71" t="s">
        <v>45</v>
      </c>
      <c r="C20" s="72">
        <f>+'Goat Meat'!D3</f>
        <v>7.6492673799999995</v>
      </c>
      <c r="D20" s="72">
        <f>+'Goat Meat'!E3</f>
        <v>7.7224672587394281</v>
      </c>
      <c r="E20" s="72">
        <f>+'Goat Meat'!F3</f>
        <v>10.89157</v>
      </c>
      <c r="F20" s="72">
        <f>+'Goat Meat'!G3</f>
        <v>30.893643677810626</v>
      </c>
      <c r="G20" s="72">
        <f>+'Goat Meat'!H3</f>
        <v>49.069349460530212</v>
      </c>
      <c r="H20" s="73">
        <f t="shared" si="1"/>
        <v>0.58833156659258989</v>
      </c>
      <c r="I20" s="74">
        <f t="shared" si="2"/>
        <v>21.245259555416055</v>
      </c>
      <c r="J20" s="73">
        <f t="shared" si="3"/>
        <v>1.3096610955746577</v>
      </c>
      <c r="K20" s="69" t="str">
        <f>+'Goat Meat'!L3</f>
        <v>ABS (2025e)</v>
      </c>
      <c r="L20" s="69" t="str">
        <f>+'Goat Meat'!M3</f>
        <v>Australian Bureau of Statistics (2025). Australian Agriculture: Livestock. https://www.abs.gov.au/statistics/industry/agriculture/australian-agriculture-livestock/2023-24</v>
      </c>
    </row>
    <row r="21" spans="1:12" x14ac:dyDescent="0.3">
      <c r="A21" s="22" t="s">
        <v>22</v>
      </c>
      <c r="B21" s="71" t="s">
        <v>45</v>
      </c>
      <c r="C21" s="72">
        <f>+Pork!D3</f>
        <v>251.78309056000001</v>
      </c>
      <c r="D21" s="72">
        <f>+Pork!E3</f>
        <v>229.60424208033197</v>
      </c>
      <c r="E21" s="72">
        <f>+Pork!F3</f>
        <v>224.649158</v>
      </c>
      <c r="F21" s="72">
        <f>+Pork!G3</f>
        <v>267.86319350000002</v>
      </c>
      <c r="G21" s="72">
        <f>+Pork!H3</f>
        <v>300.07899129999998</v>
      </c>
      <c r="H21" s="73">
        <f t="shared" si="1"/>
        <v>0.12026959500876688</v>
      </c>
      <c r="I21" s="74">
        <f t="shared" si="2"/>
        <v>254.79573508806644</v>
      </c>
      <c r="J21" s="73">
        <f t="shared" si="3"/>
        <v>0.17772376054992467</v>
      </c>
      <c r="K21" s="69" t="str">
        <f>+Pork!L3</f>
        <v>ABS (2025b)</v>
      </c>
      <c r="L21" s="69" t="str">
        <f>+Pork!M3</f>
        <v>Australian Bureau of Statistics (2025). 7215.0 Livestock Products, Australia. Last accessed September 2025.</v>
      </c>
    </row>
    <row r="22" spans="1:12" x14ac:dyDescent="0.3">
      <c r="A22" s="22" t="s">
        <v>23</v>
      </c>
      <c r="B22" s="71" t="s">
        <v>45</v>
      </c>
      <c r="C22" s="72">
        <f>+Poultry!D3</f>
        <v>770.98317228999997</v>
      </c>
      <c r="D22" s="72">
        <f>+Poultry!E3</f>
        <v>836.23640279773258</v>
      </c>
      <c r="E22" s="72">
        <f>+Poultry!F3</f>
        <v>831.46151599999996</v>
      </c>
      <c r="F22" s="72">
        <f>+Poultry!G3</f>
        <v>1045.8609445</v>
      </c>
      <c r="G22" s="72">
        <f>+Poultry!H3</f>
        <v>1172.7810720999998</v>
      </c>
      <c r="H22" s="73">
        <f t="shared" si="1"/>
        <v>0.12135468703315744</v>
      </c>
      <c r="I22" s="74">
        <f t="shared" si="2"/>
        <v>931.46462153754635</v>
      </c>
      <c r="J22" s="73">
        <f t="shared" si="3"/>
        <v>0.25907205167290015</v>
      </c>
      <c r="K22" s="69" t="str">
        <f>+Poultry!L3</f>
        <v>ABS (2025d)</v>
      </c>
      <c r="L22" s="69" t="str">
        <f>+Poultry!M3</f>
        <v>Australian Bureau of Statistics (2025). 7215.0 Livestock Products, Australia. Last accessed September 2025.</v>
      </c>
    </row>
    <row r="23" spans="1:12" x14ac:dyDescent="0.3">
      <c r="A23" s="22" t="s">
        <v>24</v>
      </c>
      <c r="B23" s="71" t="s">
        <v>45</v>
      </c>
      <c r="C23" s="72">
        <f>+Wool!D3</f>
        <v>841.78255465999996</v>
      </c>
      <c r="D23" s="72">
        <f>+Wool!E3</f>
        <v>1102.8636452572766</v>
      </c>
      <c r="E23" s="72">
        <f>+Wool!F3</f>
        <v>1171.2101173244102</v>
      </c>
      <c r="F23" s="72">
        <f>+Wool!G3</f>
        <v>1035.3795560873605</v>
      </c>
      <c r="G23" s="72">
        <f>+Wool!H3</f>
        <v>922.77251201208901</v>
      </c>
      <c r="H23" s="73">
        <f t="shared" si="1"/>
        <v>-0.10875919213704288</v>
      </c>
      <c r="I23" s="74">
        <f t="shared" si="2"/>
        <v>1014.8016770682273</v>
      </c>
      <c r="J23" s="73">
        <f t="shared" si="3"/>
        <v>-9.068684762328294E-2</v>
      </c>
      <c r="K23" s="69" t="str">
        <f>+Wool!L3</f>
        <v>ABS (2025e)</v>
      </c>
      <c r="L23" s="69" t="str">
        <f>+Wool!M3</f>
        <v>Australian Bureau of Statistics (2025). Australian Agriculture: Livestock. https://www.abs.gov.au/statistics/industry/agriculture/australian-agriculture-livestock/2023-24</v>
      </c>
    </row>
    <row r="24" spans="1:12" x14ac:dyDescent="0.3">
      <c r="A24" s="22" t="s">
        <v>25</v>
      </c>
      <c r="B24" s="71" t="s">
        <v>45</v>
      </c>
      <c r="C24" s="72">
        <f>+Eggs!D3</f>
        <v>389.42575252999995</v>
      </c>
      <c r="D24" s="72">
        <f>+Eggs!E3</f>
        <v>314.30803050142862</v>
      </c>
      <c r="E24" s="72">
        <f>+Eggs!F3</f>
        <v>377.20469618979013</v>
      </c>
      <c r="F24" s="72">
        <f>+Eggs!G3</f>
        <v>418.02990047541061</v>
      </c>
      <c r="G24" s="72">
        <f>+Eggs!H3</f>
        <v>450.83609511084433</v>
      </c>
      <c r="H24" s="73">
        <f t="shared" si="1"/>
        <v>7.8478105509018237E-2</v>
      </c>
      <c r="I24" s="74">
        <f t="shared" si="2"/>
        <v>389.96089496149477</v>
      </c>
      <c r="J24" s="73">
        <f t="shared" si="3"/>
        <v>0.15610590942807345</v>
      </c>
      <c r="K24" s="69" t="str">
        <f>+Eggs!L3</f>
        <v>ABS (2025e)</v>
      </c>
      <c r="L24" s="69" t="str">
        <f>+Eggs!M3</f>
        <v>Australian Bureau of Statistics (2025). Australian Agriculture: Livestock. https://www.abs.gov.au/statistics/industry/agriculture/australian-agriculture-livestock/2023-24</v>
      </c>
    </row>
    <row r="25" spans="1:12" x14ac:dyDescent="0.3">
      <c r="A25" s="22" t="s">
        <v>26</v>
      </c>
      <c r="B25" s="71" t="s">
        <v>45</v>
      </c>
      <c r="C25" s="72">
        <f>+Milk!D3</f>
        <v>670.32424520000006</v>
      </c>
      <c r="D25" s="72">
        <f>+Milk!E3</f>
        <v>686.88446167231552</v>
      </c>
      <c r="E25" s="72">
        <f>+Milk!F3</f>
        <v>812.39187498000001</v>
      </c>
      <c r="F25" s="72">
        <f>+Milk!G3</f>
        <v>879.37690099999998</v>
      </c>
      <c r="G25" s="72">
        <f>+Milk!H3</f>
        <v>887.78311980939191</v>
      </c>
      <c r="H25" s="73">
        <f t="shared" si="1"/>
        <v>9.5592899925307506E-3</v>
      </c>
      <c r="I25" s="74">
        <f t="shared" si="2"/>
        <v>787.35212053234147</v>
      </c>
      <c r="J25" s="73">
        <f t="shared" si="3"/>
        <v>0.12755538044292991</v>
      </c>
      <c r="K25" s="69" t="str">
        <f>+Milk!L3</f>
        <v>ABS (2025e)</v>
      </c>
      <c r="L25" s="69" t="str">
        <f>+Milk!M3</f>
        <v>Australian Bureau of Statistics (2025). Australian Agriculture: Livestock. https://www.abs.gov.au/statistics/industry/agriculture/australian-agriculture-livestock/2023-24</v>
      </c>
    </row>
    <row r="26" spans="1:12" x14ac:dyDescent="0.3">
      <c r="A26" s="22" t="s">
        <v>212</v>
      </c>
      <c r="B26" s="71" t="s">
        <v>45</v>
      </c>
      <c r="C26" s="72">
        <v>55.249919999999996</v>
      </c>
      <c r="D26" s="72">
        <v>57.695440000000005</v>
      </c>
      <c r="E26" s="72">
        <v>63.251160086399992</v>
      </c>
      <c r="F26" s="72">
        <v>60.495160000000006</v>
      </c>
      <c r="G26" s="72">
        <v>52.018560000000001</v>
      </c>
      <c r="H26" s="73">
        <f t="shared" si="1"/>
        <v>-0.14012030053313362</v>
      </c>
      <c r="I26" s="74">
        <f t="shared" si="2"/>
        <v>57.742048017279991</v>
      </c>
      <c r="J26" s="73">
        <f t="shared" si="3"/>
        <v>-9.9121666338664816E-2</v>
      </c>
      <c r="K26" s="69"/>
      <c r="L26" s="69"/>
    </row>
    <row r="27" spans="1:12" x14ac:dyDescent="0.3">
      <c r="A27" s="9" t="s">
        <v>213</v>
      </c>
      <c r="B27" s="70" t="s">
        <v>45</v>
      </c>
      <c r="C27" s="66">
        <f>+SUM(C28:C31)</f>
        <v>656.75454986049851</v>
      </c>
      <c r="D27" s="66">
        <f t="shared" ref="D27:G27" si="6">+SUM(D28:D31)</f>
        <v>598.82088964340687</v>
      </c>
      <c r="E27" s="66">
        <f t="shared" si="6"/>
        <v>605.91174452235168</v>
      </c>
      <c r="F27" s="66">
        <f t="shared" si="6"/>
        <v>655.2167519454224</v>
      </c>
      <c r="G27" s="66">
        <f t="shared" si="6"/>
        <v>690.68989661801584</v>
      </c>
      <c r="H27" s="67">
        <f t="shared" si="1"/>
        <v>5.4139556974496017E-2</v>
      </c>
      <c r="I27" s="68">
        <f t="shared" si="2"/>
        <v>641.47876651793899</v>
      </c>
      <c r="J27" s="67">
        <f t="shared" si="3"/>
        <v>7.6715134886231162E-2</v>
      </c>
      <c r="K27" s="13"/>
      <c r="L27" s="13"/>
    </row>
    <row r="28" spans="1:12" x14ac:dyDescent="0.3">
      <c r="A28" s="22" t="s">
        <v>214</v>
      </c>
      <c r="B28" s="71" t="s">
        <v>45</v>
      </c>
      <c r="C28" s="72">
        <f>+Forestry!D4</f>
        <v>360.81427178231399</v>
      </c>
      <c r="D28" s="72">
        <f>+Forestry!E4</f>
        <v>284.81670038722302</v>
      </c>
      <c r="E28" s="72">
        <f>+Forestry!F4</f>
        <v>285.18573018249998</v>
      </c>
      <c r="F28" s="72">
        <f>+Forestry!G4</f>
        <v>304.37153434550697</v>
      </c>
      <c r="G28" s="72">
        <f>+Forestry!H4</f>
        <v>332.29238388106353</v>
      </c>
      <c r="H28" s="73">
        <f t="shared" si="1"/>
        <v>9.1732788335791682E-2</v>
      </c>
      <c r="I28" s="74">
        <f t="shared" si="2"/>
        <v>313.4961241157215</v>
      </c>
      <c r="J28" s="73">
        <f t="shared" si="3"/>
        <v>5.99569127636288E-2</v>
      </c>
      <c r="K28" s="69" t="str">
        <f>+Forestry!L4</f>
        <v>ABARES (2025c)</v>
      </c>
      <c r="L28" s="69" t="str">
        <f>+Forestry!M4</f>
        <v>Australian Bureau of Agricultural and Resource Economics and Sciences (2025). Australian Forest and Wood Product Statistics September – December 2024. Last accessed October 2025.</v>
      </c>
    </row>
    <row r="29" spans="1:12" x14ac:dyDescent="0.3">
      <c r="A29" s="22" t="s">
        <v>215</v>
      </c>
      <c r="B29" s="71" t="s">
        <v>45</v>
      </c>
      <c r="C29" s="72">
        <f>+Forestry!D5</f>
        <v>94.580597078184496</v>
      </c>
      <c r="D29" s="72">
        <f>+Forestry!E5</f>
        <v>110.7686062561839</v>
      </c>
      <c r="E29" s="72">
        <f>+Forestry!F5</f>
        <v>111.8160883398518</v>
      </c>
      <c r="F29" s="72">
        <f>+Forestry!G5</f>
        <v>135.82303359991539</v>
      </c>
      <c r="G29" s="72">
        <f>+Forestry!H5</f>
        <v>135.74561391635137</v>
      </c>
      <c r="H29" s="73">
        <f t="shared" si="1"/>
        <v>-5.7000408187068974E-4</v>
      </c>
      <c r="I29" s="74">
        <f t="shared" si="2"/>
        <v>117.74678783809739</v>
      </c>
      <c r="J29" s="73">
        <f t="shared" si="3"/>
        <v>0.15286044238423302</v>
      </c>
      <c r="K29" s="69" t="str">
        <f>+Forestry!L5</f>
        <v>ABARES (2025c)</v>
      </c>
      <c r="L29" s="69" t="str">
        <f>+Forestry!M5</f>
        <v>Australian Bureau of Agricultural and Resource Economics and Sciences (2025). Australian Forest and Wood Product Statistics September – December 2024. Last accessed October 2025.</v>
      </c>
    </row>
    <row r="30" spans="1:12" x14ac:dyDescent="0.3">
      <c r="A30" s="22" t="s">
        <v>216</v>
      </c>
      <c r="B30" s="71" t="s">
        <v>45</v>
      </c>
      <c r="C30" s="72">
        <f>+Fisheries!D4</f>
        <v>98.432681000000002</v>
      </c>
      <c r="D30" s="72">
        <f>+Fisheries!E4</f>
        <v>105.222483</v>
      </c>
      <c r="E30" s="72">
        <f>+Fisheries!F4</f>
        <v>113.203626</v>
      </c>
      <c r="F30" s="72">
        <f>+Fisheries!G4</f>
        <v>112.08928400000001</v>
      </c>
      <c r="G30" s="72">
        <f>+Fisheries!H4</f>
        <v>112.62155123826354</v>
      </c>
      <c r="H30" s="73">
        <f t="shared" si="1"/>
        <v>4.7486005733030634E-3</v>
      </c>
      <c r="I30" s="74">
        <f t="shared" si="2"/>
        <v>108.31392504765272</v>
      </c>
      <c r="J30" s="73">
        <f t="shared" si="3"/>
        <v>3.9769828198134904E-2</v>
      </c>
      <c r="K30" s="69" t="str">
        <f>+Fisheries!L4</f>
        <v>DPI (2025d)</v>
      </c>
      <c r="L30" s="69" t="str">
        <f>+Fisheries!M4</f>
        <v>NSW Department of Primary Industries (2024). Aquaculture Production Report 2023-24. Last accessed October 2025. &lt;https://www.dpi.nsw.gov.au/fishing/aquaculture/publications/aquaculture-production-reports&gt;</v>
      </c>
    </row>
    <row r="31" spans="1:12" x14ac:dyDescent="0.3">
      <c r="A31" s="22" t="s">
        <v>217</v>
      </c>
      <c r="B31" s="71" t="s">
        <v>45</v>
      </c>
      <c r="C31" s="72">
        <f>+Fisheries!D5</f>
        <v>102.92700000000001</v>
      </c>
      <c r="D31" s="72">
        <f>+Fisheries!E5</f>
        <v>98.013100000000009</v>
      </c>
      <c r="E31" s="72">
        <f>+Fisheries!F5</f>
        <v>95.706299999999999</v>
      </c>
      <c r="F31" s="72">
        <f>+Fisheries!G5</f>
        <v>102.93289999999999</v>
      </c>
      <c r="G31" s="72">
        <f>+Fisheries!H5</f>
        <v>110.03034758233746</v>
      </c>
      <c r="H31" s="73">
        <f t="shared" si="1"/>
        <v>6.8952177412056503E-2</v>
      </c>
      <c r="I31" s="74">
        <f t="shared" si="2"/>
        <v>101.92192951646749</v>
      </c>
      <c r="J31" s="73">
        <f t="shared" si="3"/>
        <v>7.9555186056008642E-2</v>
      </c>
      <c r="K31" s="69" t="str">
        <f>+Fisheries!L5</f>
        <v>ABARES (2025f)</v>
      </c>
      <c r="L31" s="69" t="str">
        <f>+Fisheries!M5</f>
        <v>Australian Bureau of Agricultural and Resource Economics (2025). Australian Fisheries and Aquaculture Statistics 2024. Last Accessed October 2025. https://www.agriculture.gov.au/abares/research-topics/fisheries/fisheries-and-aquaculture-statistics</v>
      </c>
    </row>
    <row r="32" spans="1:12" x14ac:dyDescent="0.3">
      <c r="A32" s="18" t="s">
        <v>218</v>
      </c>
      <c r="B32" s="71"/>
      <c r="C32" s="72">
        <f>+C2+C12+C17+C27</f>
        <v>18138.122558040501</v>
      </c>
      <c r="D32" s="72">
        <f>+D2+D12+D17+D27</f>
        <v>22512.225375893715</v>
      </c>
      <c r="E32" s="72">
        <f>+E2+E12+E17+E27</f>
        <v>21966.701191006749</v>
      </c>
      <c r="F32" s="72">
        <f t="shared" ref="F32" si="7">+F2+F12+F17+F27</f>
        <v>20840.781677547049</v>
      </c>
      <c r="G32" s="72">
        <f>+G2+G12+G17+G27</f>
        <v>25479.656203358485</v>
      </c>
      <c r="H32" s="73">
        <f t="shared" ref="H32" si="8">IF(ISBLANK(G32),"N/A",IF(ISNA(G32/F32-1),"N/A",IF(ISERROR(G32/F32-1),"N/A",G32/F32-1)))</f>
        <v>0.22258639803367641</v>
      </c>
      <c r="I32" s="74">
        <f t="shared" ref="I32" si="9">IF(ISBLANK(G32),"",IF(ISNA(AVERAGE(C32:G32)),"N/A",IF(ISERROR(AVERAGE(C32:G32)),"N/A",AVERAGE(C32:G32))))</f>
        <v>21787.497401169305</v>
      </c>
      <c r="J32" s="73">
        <f t="shared" ref="J32" si="10">IF(ISBLANK(G32),"",IF(ISNA(G32/AVERAGE(C32:G32)-1),"N/A",IF(ISERROR(G32/AVERAGE(C32:G32)-1),"N/A",G32/AVERAGE(C32:G32)-1)))</f>
        <v>0.16946227160495386</v>
      </c>
      <c r="K32" s="69"/>
      <c r="L32" s="69"/>
    </row>
    <row r="33" spans="1:12" x14ac:dyDescent="0.3">
      <c r="A33" s="26" t="s">
        <v>219</v>
      </c>
      <c r="B33" s="13"/>
      <c r="C33" s="13"/>
      <c r="D33" s="13"/>
      <c r="E33" s="13"/>
      <c r="F33" s="13"/>
      <c r="G33" s="13"/>
      <c r="H33" s="13"/>
      <c r="I33" s="13"/>
      <c r="J33" s="13"/>
      <c r="K33" s="13"/>
      <c r="L33" s="13"/>
    </row>
    <row r="34" spans="1:12" x14ac:dyDescent="0.3">
      <c r="A34" s="13" t="s">
        <v>220</v>
      </c>
      <c r="B34" s="13"/>
      <c r="C34" s="13"/>
      <c r="D34" s="13"/>
      <c r="E34" s="13"/>
      <c r="F34" s="13"/>
      <c r="G34" s="13"/>
      <c r="H34" s="13"/>
      <c r="I34" s="13"/>
      <c r="J34" s="13"/>
      <c r="K34" s="13"/>
      <c r="L34" s="13"/>
    </row>
    <row r="35" spans="1:12" x14ac:dyDescent="0.3">
      <c r="A35" s="13" t="s">
        <v>221</v>
      </c>
      <c r="B35" s="13"/>
      <c r="C35" s="13"/>
      <c r="D35" s="13"/>
      <c r="E35" s="13"/>
      <c r="F35" s="13"/>
      <c r="G35" s="13"/>
      <c r="H35" s="13"/>
      <c r="I35" s="13"/>
      <c r="J35" s="13"/>
      <c r="K35" s="13"/>
      <c r="L35" s="13"/>
    </row>
    <row r="36" spans="1:12" x14ac:dyDescent="0.3">
      <c r="A36" s="13" t="s">
        <v>222</v>
      </c>
      <c r="B36" s="13"/>
      <c r="C36" s="13"/>
      <c r="D36" s="13"/>
      <c r="E36" s="13"/>
      <c r="F36" s="13"/>
      <c r="G36" s="13"/>
      <c r="H36" s="13"/>
      <c r="I36" s="13"/>
      <c r="J36" s="13"/>
      <c r="K36" s="13"/>
      <c r="L36" s="13"/>
    </row>
    <row r="37" spans="1:12" x14ac:dyDescent="0.3">
      <c r="A37" s="13" t="s">
        <v>62</v>
      </c>
      <c r="B37" s="13"/>
      <c r="C37" s="13"/>
      <c r="D37" s="13"/>
      <c r="E37" s="13"/>
      <c r="F37" s="13"/>
      <c r="G37" s="13"/>
      <c r="H37" s="13"/>
      <c r="I37" s="13"/>
      <c r="J37" s="13"/>
      <c r="K37" s="13"/>
      <c r="L37" s="13"/>
    </row>
    <row r="38" spans="1:12" x14ac:dyDescent="0.3">
      <c r="A38" s="13" t="s">
        <v>223</v>
      </c>
      <c r="B38" s="13"/>
      <c r="C38" s="13"/>
      <c r="D38" s="13"/>
      <c r="E38" s="13"/>
      <c r="F38" s="13"/>
      <c r="G38" s="13"/>
      <c r="H38" s="13"/>
      <c r="I38" s="13"/>
      <c r="J38" s="13"/>
      <c r="K38" s="13"/>
      <c r="L38" s="13"/>
    </row>
    <row r="39" spans="1:12" x14ac:dyDescent="0.3">
      <c r="A39" s="13" t="s">
        <v>183</v>
      </c>
      <c r="B39" s="13"/>
      <c r="C39" s="13"/>
      <c r="D39" s="13"/>
      <c r="E39" s="13"/>
      <c r="F39" s="13"/>
      <c r="G39" s="13"/>
      <c r="H39" s="13"/>
      <c r="I39" s="13"/>
      <c r="J39" s="13"/>
      <c r="K39" s="13"/>
      <c r="L39" s="13"/>
    </row>
    <row r="40" spans="1:12" x14ac:dyDescent="0.3">
      <c r="A40" s="27"/>
      <c r="B40" s="13"/>
      <c r="C40" s="13"/>
      <c r="D40" s="13"/>
      <c r="E40" s="13"/>
      <c r="F40" s="13"/>
      <c r="G40" s="13"/>
      <c r="H40" s="13"/>
      <c r="I40" s="13"/>
      <c r="J40" s="13"/>
      <c r="K40" s="13"/>
      <c r="L40" s="13"/>
    </row>
    <row r="41" spans="1:12" x14ac:dyDescent="0.3">
      <c r="B41" s="13"/>
      <c r="C41" s="13"/>
      <c r="D41" s="13"/>
      <c r="E41" s="13"/>
      <c r="F41" s="13"/>
      <c r="G41" s="13"/>
      <c r="H41" s="13"/>
      <c r="I41" s="13"/>
      <c r="J41" s="13"/>
      <c r="K41" s="13"/>
      <c r="L41" s="13"/>
    </row>
  </sheetData>
  <conditionalFormatting sqref="A2:J32">
    <cfRule type="expression" dxfId="37" priority="1">
      <formula>MOD(ROW(),2)=0</formula>
    </cfRule>
  </conditionalFormatting>
  <pageMargins left="0.7" right="0.7" top="0.75" bottom="0.75" header="0.3" footer="0.3"/>
  <pageSetup paperSize="9" scale="27"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8E91-9548-460B-9A44-2768877E5A74}">
  <sheetPr codeName="Sheet23"/>
  <dimension ref="A1:L72"/>
  <sheetViews>
    <sheetView workbookViewId="0"/>
  </sheetViews>
  <sheetFormatPr defaultRowHeight="14.4" x14ac:dyDescent="0.3"/>
  <cols>
    <col min="1" max="1" width="27.6640625" customWidth="1"/>
    <col min="2" max="2" width="16.33203125" bestFit="1" customWidth="1"/>
    <col min="3" max="3" width="9.5546875" bestFit="1" customWidth="1"/>
    <col min="4" max="6" width="9" bestFit="1" customWidth="1"/>
    <col min="7" max="7" width="9.109375" bestFit="1" customWidth="1"/>
    <col min="8" max="10" width="9" bestFit="1" customWidth="1"/>
  </cols>
  <sheetData>
    <row r="1" spans="1:12" ht="46.8" x14ac:dyDescent="0.3">
      <c r="A1" s="5" t="s">
        <v>224</v>
      </c>
      <c r="B1" s="5" t="s">
        <v>38</v>
      </c>
      <c r="C1" s="5" t="str">
        <f>+'Gross Value of Production'!C1</f>
        <v>2020-21</v>
      </c>
      <c r="D1" s="5" t="str">
        <f>+'Gross Value of Production'!D1</f>
        <v>2021-22e</v>
      </c>
      <c r="E1" s="5" t="str">
        <f>+'Gross Value of Production'!E1</f>
        <v>2022-23e</v>
      </c>
      <c r="F1" s="5" t="str">
        <f>+'Gross Value of Production'!F1</f>
        <v>2023-24e</v>
      </c>
      <c r="G1" s="5" t="str">
        <f>+'Gross Value of Production'!G1</f>
        <v>2024-25e</v>
      </c>
      <c r="H1" s="19" t="s">
        <v>39</v>
      </c>
      <c r="I1" s="19" t="s">
        <v>111</v>
      </c>
      <c r="J1" s="19" t="s">
        <v>41</v>
      </c>
      <c r="K1" s="9" t="s">
        <v>42</v>
      </c>
      <c r="L1" s="9" t="s">
        <v>43</v>
      </c>
    </row>
    <row r="2" spans="1:12" x14ac:dyDescent="0.3">
      <c r="A2" s="9" t="s">
        <v>225</v>
      </c>
      <c r="B2" s="9"/>
      <c r="C2" s="20"/>
      <c r="D2" s="20"/>
      <c r="E2" s="57"/>
      <c r="F2" s="57"/>
      <c r="G2" s="57"/>
      <c r="H2" s="58"/>
      <c r="I2" s="58"/>
      <c r="J2" s="58"/>
      <c r="K2" s="11"/>
      <c r="L2" s="11"/>
    </row>
    <row r="3" spans="1:12" x14ac:dyDescent="0.3">
      <c r="A3" s="22" t="s">
        <v>9</v>
      </c>
      <c r="B3" s="6" t="s">
        <v>51</v>
      </c>
      <c r="C3" s="59">
        <f>+Wheat!D6</f>
        <v>12972.151</v>
      </c>
      <c r="D3" s="59">
        <f>+Wheat!E6</f>
        <v>12029.415000000001</v>
      </c>
      <c r="E3" s="59">
        <f>+Wheat!F6</f>
        <v>10620</v>
      </c>
      <c r="F3" s="59">
        <f>+Wheat!G6</f>
        <v>7095</v>
      </c>
      <c r="G3" s="59">
        <f>+Wheat!H6</f>
        <v>12900</v>
      </c>
      <c r="H3" s="60">
        <f>+Wheat!I6</f>
        <v>0.81818181818181812</v>
      </c>
      <c r="I3" s="59">
        <f>+Wheat!J6</f>
        <v>11123.313200000001</v>
      </c>
      <c r="J3" s="60">
        <f>+Wheat!K6</f>
        <v>0.15972640238162117</v>
      </c>
      <c r="K3" s="117" t="str">
        <f>+Wheat!L6</f>
        <v>ABARES (2025a)</v>
      </c>
      <c r="L3" s="117" t="str">
        <f>+Wheat!M6</f>
        <v>Australian Bureau of Agricultural and Resource Economics and Sciences (2025). Australian Crop Report, September 2025. Last accessed October 2025.</v>
      </c>
    </row>
    <row r="4" spans="1:12" x14ac:dyDescent="0.3">
      <c r="A4" s="22" t="s">
        <v>10</v>
      </c>
      <c r="B4" s="6" t="s">
        <v>51</v>
      </c>
      <c r="C4" s="59">
        <f>+Barley!D6</f>
        <v>4257.9880000000003</v>
      </c>
      <c r="D4" s="59">
        <f>+Barley!E6</f>
        <v>3561.7190000000001</v>
      </c>
      <c r="E4" s="59">
        <f>+Barley!F6</f>
        <v>2277.6</v>
      </c>
      <c r="F4" s="59">
        <f>+Barley!G6</f>
        <v>1920</v>
      </c>
      <c r="G4" s="59">
        <f>+Barley!H6</f>
        <v>3400</v>
      </c>
      <c r="H4" s="60">
        <f>+Barley!I6</f>
        <v>0.77083333333333326</v>
      </c>
      <c r="I4" s="59">
        <f>+Barley!J6</f>
        <v>3083.4614000000001</v>
      </c>
      <c r="J4" s="60">
        <f>+Barley!K6</f>
        <v>0.10265690369919978</v>
      </c>
      <c r="K4" s="117" t="str">
        <f>+Barley!L6</f>
        <v>ABARES (2025a)</v>
      </c>
      <c r="L4" s="117" t="str">
        <f>+Barley!M6</f>
        <v>Australian Bureau of Agricultural and Resource Economics and Sciences (2025). Australian Crop Report, September 2025. Last accessed October 2025.</v>
      </c>
    </row>
    <row r="5" spans="1:12" x14ac:dyDescent="0.3">
      <c r="A5" s="22" t="s">
        <v>11</v>
      </c>
      <c r="B5" s="6" t="s">
        <v>51</v>
      </c>
      <c r="C5" s="59">
        <f>+Rice!D6</f>
        <v>416.827</v>
      </c>
      <c r="D5" s="59">
        <f>+Rice!E6</f>
        <v>685.44799999999998</v>
      </c>
      <c r="E5" s="59">
        <f>+Rice!F6</f>
        <v>503</v>
      </c>
      <c r="F5" s="59">
        <f>+Rice!G6</f>
        <v>618</v>
      </c>
      <c r="G5" s="59">
        <f>+Rice!H6</f>
        <v>473.51100000000002</v>
      </c>
      <c r="H5" s="60">
        <f>+Rice!I6</f>
        <v>-0.23380097087378637</v>
      </c>
      <c r="I5" s="59">
        <f>+Rice!J6</f>
        <v>539.35720000000003</v>
      </c>
      <c r="J5" s="60">
        <f>+Rice!K6</f>
        <v>-0.12208273107321088</v>
      </c>
      <c r="K5" s="117" t="str">
        <f>+Rice!L6</f>
        <v>ABARES (2025a)</v>
      </c>
      <c r="L5" s="117" t="str">
        <f>+Rice!M6</f>
        <v>Australian Bureau of Agricultural and Resource Economics and Sciences (2025). Australian Crop Report, September 2025. Last accessed October 2025.</v>
      </c>
    </row>
    <row r="6" spans="1:12" x14ac:dyDescent="0.3">
      <c r="A6" s="22" t="s">
        <v>201</v>
      </c>
      <c r="B6" s="6" t="s">
        <v>51</v>
      </c>
      <c r="C6" s="59">
        <f>+'Coarse Grains'!D6</f>
        <v>1379.9189999999999</v>
      </c>
      <c r="D6" s="59">
        <f>+'Coarse Grains'!E6</f>
        <v>1480.145</v>
      </c>
      <c r="E6" s="59">
        <f>+'Coarse Grains'!F6</f>
        <v>1338.2</v>
      </c>
      <c r="F6" s="59">
        <f>+'Coarse Grains'!G6</f>
        <v>1216</v>
      </c>
      <c r="G6" s="59">
        <f>+'Coarse Grains'!H6</f>
        <v>1345</v>
      </c>
      <c r="H6" s="60">
        <f>+'Coarse Grains'!I6</f>
        <v>0.10608552631578938</v>
      </c>
      <c r="I6" s="59">
        <f>+'Coarse Grains'!J6</f>
        <v>1351.8528000000001</v>
      </c>
      <c r="J6" s="60">
        <f>+'Coarse Grains'!K6</f>
        <v>-5.0691909651702227E-3</v>
      </c>
      <c r="K6" s="117" t="str">
        <f>+'Coarse Grains'!L6</f>
        <v>ABARES (2025a)</v>
      </c>
      <c r="L6" s="117" t="str">
        <f>+'Coarse Grains'!M6</f>
        <v>Australian Bureau of Agricultural and Resource Economics and Sciences (2025). Australian Crop Report, September 2025. Last accessed October 2025.</v>
      </c>
    </row>
    <row r="7" spans="1:12" x14ac:dyDescent="0.3">
      <c r="A7" s="22" t="s">
        <v>13</v>
      </c>
      <c r="B7" s="6" t="s">
        <v>51</v>
      </c>
      <c r="C7" s="59">
        <f>+Pulses!D6</f>
        <v>845.67000000000007</v>
      </c>
      <c r="D7" s="59">
        <f>+Pulses!E6</f>
        <v>787.74</v>
      </c>
      <c r="E7" s="59">
        <f>+Pulses!F6</f>
        <v>451</v>
      </c>
      <c r="F7" s="59">
        <f>+Pulses!G6</f>
        <v>444</v>
      </c>
      <c r="G7" s="59">
        <f>+Pulses!H6</f>
        <v>1913</v>
      </c>
      <c r="H7" s="60">
        <f>+Pulses!I6</f>
        <v>3.3085585585585582</v>
      </c>
      <c r="I7" s="59">
        <f>+Pulses!J6</f>
        <v>888.28199999999993</v>
      </c>
      <c r="J7" s="60">
        <f>+Pulses!K6</f>
        <v>1.1535953672369814</v>
      </c>
      <c r="K7" s="117" t="str">
        <f>+Pulses!L6</f>
        <v>ABARES (2025a)</v>
      </c>
      <c r="L7" s="117" t="str">
        <f>+Pulses!M6</f>
        <v>Australian Bureau of Agricultural and Resource Economics and Sciences (2025). Australian Crop Report, September 2025. Last accessed October 2025.</v>
      </c>
    </row>
    <row r="8" spans="1:12" x14ac:dyDescent="0.3">
      <c r="A8" s="22" t="s">
        <v>14</v>
      </c>
      <c r="B8" s="6" t="s">
        <v>51</v>
      </c>
      <c r="C8" s="59">
        <f>+Oilseeds!D6</f>
        <v>1532.184</v>
      </c>
      <c r="D8" s="59">
        <f>+Oilseeds!E6</f>
        <v>2114.1439999999998</v>
      </c>
      <c r="E8" s="59">
        <f>+Oilseeds!F6</f>
        <v>1800</v>
      </c>
      <c r="F8" s="59">
        <f>+Oilseeds!G6</f>
        <v>1600</v>
      </c>
      <c r="G8" s="59">
        <f>+Oilseeds!H6</f>
        <v>1800</v>
      </c>
      <c r="H8" s="126">
        <f>+Oilseeds!I6</f>
        <v>0.125</v>
      </c>
      <c r="I8" s="63">
        <f>+Oilseeds!J6</f>
        <v>1769.2655999999999</v>
      </c>
      <c r="J8" s="126">
        <f>+Oilseeds!K6</f>
        <v>1.7371275403760711E-2</v>
      </c>
      <c r="K8" s="117" t="str">
        <f>+Oilseeds!L6</f>
        <v>ABARES (2025a)</v>
      </c>
      <c r="L8" s="117" t="str">
        <f>+Oilseeds!M6</f>
        <v>Australian Bureau of Agricultural and Resource Economics and Sciences (2025). Australian Crop Report, September 2025. Last accessed October 2025.</v>
      </c>
    </row>
    <row r="9" spans="1:12" x14ac:dyDescent="0.3">
      <c r="A9" s="22" t="s">
        <v>15</v>
      </c>
      <c r="B9" s="6" t="s">
        <v>84</v>
      </c>
      <c r="C9" s="59">
        <f>+'Cotton Lint'!D6</f>
        <v>1696.9603524229074</v>
      </c>
      <c r="D9" s="59">
        <f>+'Cotton Lint'!E6</f>
        <v>3678.7885462555068</v>
      </c>
      <c r="E9" s="59">
        <f>+'Cotton Lint'!F6</f>
        <v>3235.6607929515417</v>
      </c>
      <c r="F9" s="59">
        <f>+'Cotton Lint'!G6</f>
        <v>3454.8502202643172</v>
      </c>
      <c r="G9" s="59">
        <f>+'Cotton Lint'!H6</f>
        <v>3443.7312775330392</v>
      </c>
      <c r="H9" s="126">
        <f>+'Cotton Lint'!I6</f>
        <v>-3.2183573881322536E-3</v>
      </c>
      <c r="I9" s="63">
        <f>+'Cotton Lint'!J6</f>
        <v>3101.9982378854625</v>
      </c>
      <c r="J9" s="126">
        <f>+'Cotton Lint'!K6</f>
        <v>0.11016545253762811</v>
      </c>
      <c r="K9" s="117" t="str">
        <f>+'Cotton Lint'!L6</f>
        <v>ABARES (2025a)</v>
      </c>
      <c r="L9" s="117" t="str">
        <f>+'Cotton Lint'!M6</f>
        <v>Australian Bureau of Agricultural and Resource Economics and Sciences (2025). Australian Crop Report, September 2025. Last accessed October 2025.</v>
      </c>
    </row>
    <row r="10" spans="1:12" x14ac:dyDescent="0.3">
      <c r="A10" s="22" t="s">
        <v>202</v>
      </c>
      <c r="B10" s="94" t="s">
        <v>89</v>
      </c>
      <c r="C10" s="8">
        <f>+Sugarcane!D6</f>
        <v>1744.028</v>
      </c>
      <c r="D10" s="8">
        <f>+Sugarcane!E6</f>
        <v>1610.5029999999999</v>
      </c>
      <c r="E10" s="8">
        <f>+Sugarcane!F6</f>
        <v>1329.2239999999999</v>
      </c>
      <c r="F10" s="8">
        <f>+Sugarcane!G6</f>
        <v>1208.7339999999999</v>
      </c>
      <c r="G10" s="8">
        <f>+Sugarcane!H6</f>
        <v>1514.85</v>
      </c>
      <c r="H10" s="132">
        <f>+Sugarcane!I6</f>
        <v>0.25325340397473717</v>
      </c>
      <c r="I10" s="65">
        <f>+Sugarcane!J6</f>
        <v>1481.4677999999999</v>
      </c>
      <c r="J10" s="132">
        <f>+Sugarcane!K6</f>
        <v>2.2533193094038229E-2</v>
      </c>
      <c r="K10" s="117" t="str">
        <f>+Sugarcane!L6</f>
        <v>ASM (2025)</v>
      </c>
      <c r="L10" s="117" t="str">
        <f>+Sugarcane!M6</f>
        <v>Australian Sugar Manufacturers (2025). Industry Stats and Snapshot 2024. Last accessed October 2025.</v>
      </c>
    </row>
    <row r="11" spans="1:12" x14ac:dyDescent="0.3">
      <c r="A11" s="9" t="s">
        <v>226</v>
      </c>
      <c r="B11" s="9"/>
      <c r="C11" s="10"/>
      <c r="D11" s="10"/>
      <c r="E11" s="61"/>
      <c r="F11" s="62"/>
      <c r="G11" s="62"/>
      <c r="H11" s="21"/>
      <c r="I11" s="127" t="str">
        <f>IF(ISBLANK(F11),"",IF(ISNA(AVERAGE(C11:F11)),"N/A",IF(ISERROR(AVERAGE(C11:F11)),"N/A",AVERAGE(C11:F11))))</f>
        <v/>
      </c>
      <c r="J11" s="21"/>
      <c r="K11" s="58"/>
      <c r="L11" s="58"/>
    </row>
    <row r="12" spans="1:12" x14ac:dyDescent="0.3">
      <c r="A12" s="22" t="s">
        <v>227</v>
      </c>
      <c r="B12" s="6" t="s">
        <v>51</v>
      </c>
      <c r="C12" s="8">
        <f>Horticulture!D7</f>
        <v>246.322</v>
      </c>
      <c r="D12" s="8">
        <f>Horticulture!E7</f>
        <v>263.15800000000002</v>
      </c>
      <c r="E12" s="8">
        <f>Horticulture!F7</f>
        <v>315.875</v>
      </c>
      <c r="F12" s="8">
        <f>Horticulture!G7</f>
        <v>337.26</v>
      </c>
      <c r="G12" s="8" t="str">
        <f>Horticulture!H7</f>
        <v>N/A</v>
      </c>
      <c r="H12" s="8" t="str">
        <f>Horticulture!I7</f>
        <v>N/A</v>
      </c>
      <c r="I12" s="8">
        <f>Horticulture!J7</f>
        <v>290.65375</v>
      </c>
      <c r="J12" s="8" t="str">
        <f>Horticulture!K7</f>
        <v>N/A</v>
      </c>
      <c r="K12" s="8" t="str">
        <f>Horticulture!L7</f>
        <v>ABS (2025d)</v>
      </c>
      <c r="L12" s="8" t="str">
        <f>Horticulture!M7</f>
        <v>Australian Bureau of Statistics (2025). Australian Agriculture, Horticulture, 2023-24. Last accessed October 2025.</v>
      </c>
    </row>
    <row r="13" spans="1:12" x14ac:dyDescent="0.3">
      <c r="A13" s="22" t="s">
        <v>228</v>
      </c>
      <c r="B13" s="6" t="s">
        <v>51</v>
      </c>
      <c r="C13" s="8">
        <f>Horticulture!D8</f>
        <v>32.121000000000002</v>
      </c>
      <c r="D13" s="8">
        <f>Horticulture!E8</f>
        <v>35.488999999999997</v>
      </c>
      <c r="E13" s="8">
        <f>Horticulture!F8</f>
        <v>28.468</v>
      </c>
      <c r="F13" s="8">
        <f>Horticulture!G8</f>
        <v>53.837000000000003</v>
      </c>
      <c r="G13" s="8" t="str">
        <f>Horticulture!H8</f>
        <v>N/A</v>
      </c>
      <c r="H13" s="8" t="str">
        <f>Horticulture!I8</f>
        <v>N/A</v>
      </c>
      <c r="I13" s="8">
        <f>Horticulture!J8</f>
        <v>37.478750000000005</v>
      </c>
      <c r="J13" s="8" t="str">
        <f>Horticulture!K8</f>
        <v>N/A</v>
      </c>
      <c r="K13" s="8" t="str">
        <f>Horticulture!L8</f>
        <v>ABS (2025d)</v>
      </c>
      <c r="L13" s="8" t="str">
        <f>Horticulture!M8</f>
        <v>Australian Bureau of Statistics (2025). Australian Agriculture, Horticulture, 2023-24. Last accessed October 2025.</v>
      </c>
    </row>
    <row r="14" spans="1:12" x14ac:dyDescent="0.3">
      <c r="A14" s="22" t="s">
        <v>229</v>
      </c>
      <c r="B14" s="6" t="s">
        <v>51</v>
      </c>
      <c r="C14" s="8">
        <f>Horticulture!D9</f>
        <v>72.278000000000006</v>
      </c>
      <c r="D14" s="8">
        <f>Horticulture!E9</f>
        <v>66.507999999999996</v>
      </c>
      <c r="E14" s="8">
        <f>Horticulture!F9</f>
        <v>72.326999999999998</v>
      </c>
      <c r="F14" s="8">
        <f>Horticulture!G9</f>
        <v>71.965999999999994</v>
      </c>
      <c r="G14" s="8" t="str">
        <f>Horticulture!H9</f>
        <v>N/A</v>
      </c>
      <c r="H14" s="8" t="str">
        <f>Horticulture!I9</f>
        <v>N/A</v>
      </c>
      <c r="I14" s="8">
        <f>Horticulture!J9</f>
        <v>70.769750000000002</v>
      </c>
      <c r="J14" s="8" t="str">
        <f>Horticulture!K9</f>
        <v>N/A</v>
      </c>
      <c r="K14" s="8" t="str">
        <f>Horticulture!L9</f>
        <v>ABS (2025d)</v>
      </c>
      <c r="L14" s="8" t="str">
        <f>Horticulture!M9</f>
        <v>Australian Bureau of Statistics (2025). Australian Agriculture, Horticulture, 2023-24. Last accessed October 2025.</v>
      </c>
    </row>
    <row r="15" spans="1:12" x14ac:dyDescent="0.3">
      <c r="A15" s="22" t="s">
        <v>230</v>
      </c>
      <c r="B15" s="6" t="s">
        <v>51</v>
      </c>
      <c r="C15" s="8">
        <f>Horticulture!D10</f>
        <v>21.577000000000002</v>
      </c>
      <c r="D15" s="8">
        <f>Horticulture!E10</f>
        <v>20</v>
      </c>
      <c r="E15" s="8">
        <f>Horticulture!F10</f>
        <v>16.393999999999998</v>
      </c>
      <c r="F15" s="8">
        <f>Horticulture!G10</f>
        <v>15.146000000000001</v>
      </c>
      <c r="G15" s="8" t="str">
        <f>Horticulture!H10</f>
        <v>N/A</v>
      </c>
      <c r="H15" s="8" t="str">
        <f>Horticulture!I10</f>
        <v>N/A</v>
      </c>
      <c r="I15" s="8">
        <f>Horticulture!J10</f>
        <v>18.279249999999998</v>
      </c>
      <c r="J15" s="8" t="str">
        <f>Horticulture!K10</f>
        <v>N/A</v>
      </c>
      <c r="K15" s="8" t="str">
        <f>Horticulture!L10</f>
        <v>ABS (2025d)</v>
      </c>
      <c r="L15" s="8" t="str">
        <f>Horticulture!M10</f>
        <v>Australian Bureau of Statistics (2025). Australian Agriculture, Horticulture, 2023-24. Last accessed October 2025.</v>
      </c>
    </row>
    <row r="16" spans="1:12" x14ac:dyDescent="0.3">
      <c r="A16" s="22" t="s">
        <v>231</v>
      </c>
      <c r="B16" s="6" t="s">
        <v>51</v>
      </c>
      <c r="C16" s="8">
        <f>Horticulture!D11</f>
        <v>158.458</v>
      </c>
      <c r="D16" s="8">
        <f>Horticulture!E11</f>
        <v>158.792</v>
      </c>
      <c r="E16" s="8">
        <f>Horticulture!F11</f>
        <v>158.89099999999999</v>
      </c>
      <c r="F16" s="8">
        <f>Horticulture!G11</f>
        <v>166.18799999999999</v>
      </c>
      <c r="G16" s="8" t="str">
        <f>Horticulture!H11</f>
        <v>N/A</v>
      </c>
      <c r="H16" s="8" t="str">
        <f>Horticulture!I11</f>
        <v>N/A</v>
      </c>
      <c r="I16" s="8">
        <f>Horticulture!J11</f>
        <v>160.58224999999999</v>
      </c>
      <c r="J16" s="8" t="str">
        <f>Horticulture!K11</f>
        <v>N/A</v>
      </c>
      <c r="K16" s="8" t="str">
        <f>Horticulture!L11</f>
        <v>ABS (2025d)</v>
      </c>
      <c r="L16" s="8" t="str">
        <f>Horticulture!M11</f>
        <v>Australian Bureau of Statistics (2025). Australian Agriculture, Horticulture, 2023-24. Last accessed October 2025.</v>
      </c>
    </row>
    <row r="17" spans="1:12" x14ac:dyDescent="0.3">
      <c r="A17" s="22" t="s">
        <v>232</v>
      </c>
      <c r="B17" s="6" t="s">
        <v>51</v>
      </c>
      <c r="C17" s="8">
        <f>Wine!D6</f>
        <v>576.22356330531693</v>
      </c>
      <c r="D17" s="8">
        <f>Wine!E6</f>
        <v>495.96394462511699</v>
      </c>
      <c r="E17" s="8">
        <f>Wine!F6</f>
        <v>352.10046956003902</v>
      </c>
      <c r="F17" s="8">
        <f>Wine!G6</f>
        <v>412.77437969388501</v>
      </c>
      <c r="G17" s="8">
        <f>Wine!H6</f>
        <v>478.18567993449903</v>
      </c>
      <c r="H17" s="121">
        <f>Wine!I6</f>
        <v>0.15846744240551769</v>
      </c>
      <c r="I17" s="8">
        <f>Wine!J6</f>
        <v>463.04960742377142</v>
      </c>
      <c r="J17" s="121">
        <f>Wine!K6</f>
        <v>3.2687799035051146E-2</v>
      </c>
      <c r="K17" s="8" t="str">
        <f>Wine!L6</f>
        <v>WA (2025)</v>
      </c>
      <c r="L17" s="130" t="str">
        <f>Wine!M6</f>
        <v xml:space="preserve">Wine Australia (2025). National Vintage Report, 2025. Last accessed October 2025. </v>
      </c>
    </row>
    <row r="18" spans="1:12" x14ac:dyDescent="0.3">
      <c r="A18" s="15" t="s">
        <v>233</v>
      </c>
      <c r="B18" s="9"/>
      <c r="C18" s="10"/>
      <c r="D18" s="10"/>
      <c r="E18" s="61"/>
      <c r="F18" s="62"/>
      <c r="G18" s="62"/>
      <c r="H18" s="21"/>
      <c r="I18" s="127" t="str">
        <f>IF(ISBLANK(F18),"",IF(ISNA(AVERAGE(C18:F18)),"N/A",IF(ISERROR(AVERAGE(C18:F18)),"N/A",AVERAGE(C18:F18))))</f>
        <v/>
      </c>
      <c r="J18" s="21"/>
      <c r="K18" s="118"/>
      <c r="L18" s="118"/>
    </row>
    <row r="19" spans="1:12" x14ac:dyDescent="0.3">
      <c r="A19" s="22" t="s">
        <v>209</v>
      </c>
      <c r="B19" s="6" t="s">
        <v>51</v>
      </c>
      <c r="C19" s="63">
        <f>+Beef!D8</f>
        <v>401.91699999999997</v>
      </c>
      <c r="D19" s="63">
        <f>+Beef!E8</f>
        <v>399.05700000000002</v>
      </c>
      <c r="E19" s="63">
        <f>+Beef!F8</f>
        <v>425.20100000000002</v>
      </c>
      <c r="F19" s="63">
        <f>+Beef!G8</f>
        <v>512.60199999999998</v>
      </c>
      <c r="G19" s="63">
        <f>+Beef!H8</f>
        <v>595.51900000000001</v>
      </c>
      <c r="H19" s="23">
        <f>IF(ISBLANK(G19),"N/A",IF(ISNA(G19/F19-1),"N/A",IF(ISERROR(G19/F19-1),"N/A",G19/F19-1)))</f>
        <v>0.16175707468952538</v>
      </c>
      <c r="I19" s="24">
        <f>IF(ISBLANK(G19),"",IF(ISNA(AVERAGE(C19:G19)),"N/A",IF(ISERROR(AVERAGE(C19:G19)),"N/A",AVERAGE(C19:G19))))</f>
        <v>466.85920000000004</v>
      </c>
      <c r="J19" s="23">
        <f t="shared" ref="J19:J26" si="0">IF(ISBLANK(G19),"",IF(ISNA(G19/AVERAGE(C19:G19)-1),"N/A",IF(ISERROR(G19/AVERAGE(C19:G19)-1),"N/A",G19/AVERAGE(C19:G19)-1)))</f>
        <v>0.27558587257143041</v>
      </c>
      <c r="K19" s="119" t="str">
        <f>+Beef!L8</f>
        <v>ABS (2025b)</v>
      </c>
      <c r="L19" s="119" t="str">
        <f>+Beef!M8</f>
        <v>Australian Bureau of Statistics (2025). 7215.0 Livestock Products, Australia. Last accessed September 2025.</v>
      </c>
    </row>
    <row r="20" spans="1:12" x14ac:dyDescent="0.3">
      <c r="A20" s="22" t="s">
        <v>210</v>
      </c>
      <c r="B20" s="6" t="s">
        <v>51</v>
      </c>
      <c r="C20" s="8">
        <f>SUM('Sheep Meat'!D7:D8)</f>
        <v>193.363</v>
      </c>
      <c r="D20" s="8">
        <f>SUM('Sheep Meat'!E7:E8)</f>
        <v>183.529</v>
      </c>
      <c r="E20" s="8">
        <f>SUM('Sheep Meat'!F7:F8)</f>
        <v>194.476</v>
      </c>
      <c r="F20" s="59">
        <f>SUM('Sheep Meat'!G7:G8)</f>
        <v>217.50199999999998</v>
      </c>
      <c r="G20" s="59">
        <f>SUM('Sheep Meat'!H7:H8)</f>
        <v>253.90800000000002</v>
      </c>
      <c r="H20" s="23">
        <f>IF(ISBLANK(G20),"N/A",IF(ISNA(G20/F20-1),"N/A",IF(ISERROR(G20/F20-1),"N/A",G20/F20-1)))</f>
        <v>0.16738236889775737</v>
      </c>
      <c r="I20" s="24">
        <f>IF(ISBLANK(G20),"",IF(ISNA(AVERAGE(C20:G20)),"N/A",IF(ISERROR(AVERAGE(C20:G20)),"N/A",AVERAGE(C20:G20))))</f>
        <v>208.55559999999997</v>
      </c>
      <c r="J20" s="23">
        <f>IF(ISBLANK(G20),"",IF(ISNA(G20/AVERAGE(C20:G20)-1),"N/A",IF(ISERROR(G20/AVERAGE(C20:G20)-1),"N/A",G20/AVERAGE(C20:G20)-1)))</f>
        <v>0.2174595167907265</v>
      </c>
      <c r="K20" s="117" t="str">
        <f>'Sheep Meat'!L7</f>
        <v>ABS (2023d)</v>
      </c>
      <c r="L20" s="117" t="str">
        <f>'Sheep Meat'!M7</f>
        <v>Australian Bureau of Statistics (2021). 7215.0 Livestock Products, Australia. Last accessed September 2023.</v>
      </c>
    </row>
    <row r="21" spans="1:12" x14ac:dyDescent="0.3">
      <c r="A21" s="22" t="s">
        <v>234</v>
      </c>
      <c r="B21" s="6" t="s">
        <v>51</v>
      </c>
      <c r="C21" s="64">
        <f>'Goat Meat'!D4/1000</f>
        <v>0.33900000000000002</v>
      </c>
      <c r="D21" s="64">
        <f>'Goat Meat'!E4/1000</f>
        <v>0.47699999999999998</v>
      </c>
      <c r="E21" s="64">
        <f>'Goat Meat'!F4/1000</f>
        <v>2.524</v>
      </c>
      <c r="F21" s="131">
        <f>'Goat Meat'!G4/1000</f>
        <v>10.983000000000001</v>
      </c>
      <c r="G21" s="131">
        <f>'Goat Meat'!H4/1000</f>
        <v>14.388</v>
      </c>
      <c r="H21" s="23">
        <f t="shared" ref="H21:H26" si="1">IF(ISBLANK(G21),"N/A",IF(ISNA(G21/F21-1),"N/A",IF(ISERROR(G21/F21-1),"N/A",G21/F21-1)))</f>
        <v>0.31002458344714556</v>
      </c>
      <c r="I21" s="24">
        <f t="shared" ref="I21:I26" si="2">IF(ISBLANK(G21),"",IF(ISNA(AVERAGE(C21:G21)),"N/A",IF(ISERROR(AVERAGE(C21:G21)),"N/A",AVERAGE(C21:G21))))</f>
        <v>5.7421999999999995</v>
      </c>
      <c r="J21" s="23">
        <f t="shared" si="0"/>
        <v>1.505659851624813</v>
      </c>
      <c r="K21" s="120" t="str">
        <f>'Goat Meat'!L4</f>
        <v>MLA (2025f)</v>
      </c>
      <c r="L21" s="120" t="str">
        <f>'Goat Meat'!M4</f>
        <v>Meat &amp; Livestock Australia (2025). Australian Production &amp; Slaughter. https://www.mla.com.au/prices-markets/statistics/aus-production-slaughter</v>
      </c>
    </row>
    <row r="22" spans="1:12" x14ac:dyDescent="0.3">
      <c r="A22" s="22" t="s">
        <v>22</v>
      </c>
      <c r="B22" s="6" t="s">
        <v>51</v>
      </c>
      <c r="C22" s="63">
        <f>Pork!D5</f>
        <v>64.649000000000001</v>
      </c>
      <c r="D22" s="63">
        <f>Pork!E5</f>
        <v>61.643999999999998</v>
      </c>
      <c r="E22" s="63">
        <f>Pork!F5</f>
        <v>64.846000000000004</v>
      </c>
      <c r="F22" s="63">
        <f>Pork!G5</f>
        <v>63.682000000000002</v>
      </c>
      <c r="G22" s="63">
        <f>Pork!H5</f>
        <v>65.171000000000006</v>
      </c>
      <c r="H22" s="23">
        <f t="shared" si="1"/>
        <v>2.338180333532236E-2</v>
      </c>
      <c r="I22" s="24">
        <f t="shared" si="2"/>
        <v>63.998400000000004</v>
      </c>
      <c r="J22" s="23">
        <f t="shared" si="0"/>
        <v>1.8322333058326423E-2</v>
      </c>
      <c r="K22" s="119" t="str">
        <f>Pork!L5</f>
        <v>ABS (2025b)</v>
      </c>
      <c r="L22" s="119" t="str">
        <f>Pork!M5</f>
        <v>Australian Bureau of Statistics (2025). 7215.0 Livestock Products, Australia. Last accessed September 2025.</v>
      </c>
    </row>
    <row r="23" spans="1:12" x14ac:dyDescent="0.3">
      <c r="A23" s="22" t="s">
        <v>23</v>
      </c>
      <c r="B23" s="6" t="s">
        <v>51</v>
      </c>
      <c r="C23" s="8">
        <f>+Poultry!D5</f>
        <v>456.375</v>
      </c>
      <c r="D23" s="8">
        <f>+Poultry!E5</f>
        <v>486.27300000000002</v>
      </c>
      <c r="E23" s="8">
        <f>+Poultry!F5</f>
        <v>495.02300000000002</v>
      </c>
      <c r="F23" s="59">
        <f>+Poultry!G5</f>
        <v>536.68600000000004</v>
      </c>
      <c r="G23" s="59">
        <f>+Poultry!H5</f>
        <v>596.89400000000001</v>
      </c>
      <c r="H23" s="23">
        <f t="shared" si="1"/>
        <v>0.11218477843655306</v>
      </c>
      <c r="I23" s="24">
        <f t="shared" si="2"/>
        <v>514.25020000000006</v>
      </c>
      <c r="J23" s="23">
        <f t="shared" si="0"/>
        <v>0.16070737551487579</v>
      </c>
      <c r="K23" s="117" t="str">
        <f>+Poultry!L5</f>
        <v>ABS (2023d)</v>
      </c>
      <c r="L23" s="117" t="str">
        <f>+Poultry!M5</f>
        <v>Australian Bureau of Statistics (2021). 7215.0 Livestock Products, Australia. Last accessed September 2023.</v>
      </c>
    </row>
    <row r="24" spans="1:12" x14ac:dyDescent="0.3">
      <c r="A24" s="22" t="s">
        <v>24</v>
      </c>
      <c r="B24" s="6" t="s">
        <v>51</v>
      </c>
      <c r="C24" s="63">
        <f>+Wool!D7</f>
        <v>641.25</v>
      </c>
      <c r="D24" s="63">
        <f>+Wool!E7</f>
        <v>678.53300000000002</v>
      </c>
      <c r="E24" s="63">
        <f>+Wool!F7</f>
        <v>721.08699999999999</v>
      </c>
      <c r="F24" s="63">
        <f>+Wool!G7</f>
        <v>689.22699999999998</v>
      </c>
      <c r="G24" s="63">
        <f>+Wool!H7</f>
        <v>638.43899999999996</v>
      </c>
      <c r="H24" s="23">
        <f t="shared" si="1"/>
        <v>-7.3688349411732301E-2</v>
      </c>
      <c r="I24" s="24">
        <f t="shared" si="2"/>
        <v>673.70719999999994</v>
      </c>
      <c r="J24" s="23">
        <f t="shared" si="0"/>
        <v>-5.2349447950088668E-2</v>
      </c>
      <c r="K24" s="119" t="str">
        <f>+Wool!L7</f>
        <v>AWTA (2025)</v>
      </c>
      <c r="L24" s="119" t="str">
        <f>+Wool!M7</f>
        <v>Australian Wool Testing Authority (2025). AWTA Analytics. Key Test Data. Last Viewed October 2025.</v>
      </c>
    </row>
    <row r="25" spans="1:12" x14ac:dyDescent="0.3">
      <c r="A25" s="22" t="s">
        <v>25</v>
      </c>
      <c r="B25" s="6" t="s">
        <v>156</v>
      </c>
      <c r="C25" s="8">
        <f>Eggs!D5</f>
        <v>109.85436179999999</v>
      </c>
      <c r="D25" s="8">
        <f>Eggs!E5</f>
        <v>114.89480934358058</v>
      </c>
      <c r="E25" s="8" t="str">
        <f>Eggs!F5</f>
        <v>N/A</v>
      </c>
      <c r="F25" s="59" t="str">
        <f>Eggs!G5</f>
        <v>N/A</v>
      </c>
      <c r="G25" s="59" t="str">
        <f>Eggs!H5</f>
        <v>N/A</v>
      </c>
      <c r="H25" s="23" t="str">
        <f t="shared" si="1"/>
        <v>N/A</v>
      </c>
      <c r="I25" s="63">
        <f t="shared" si="2"/>
        <v>112.37458557179028</v>
      </c>
      <c r="J25" s="23" t="str">
        <f t="shared" si="0"/>
        <v>N/A</v>
      </c>
      <c r="K25" s="117" t="str">
        <f>Eggs!L5</f>
        <v>ABS (2023g)</v>
      </c>
      <c r="L25" s="117" t="str">
        <f>Eggs!M5</f>
        <v>Australian Bureau of Statistics (2023). 7121.0 Agricultural Commodities, Australia 2021-22. Last accessed October 2023. https://www.abs.gov.au/statistics/industry/agriculture/agricultural-commodities-australia/latest-release</v>
      </c>
    </row>
    <row r="26" spans="1:12" x14ac:dyDescent="0.3">
      <c r="A26" s="22" t="s">
        <v>235</v>
      </c>
      <c r="B26" s="6" t="s">
        <v>164</v>
      </c>
      <c r="C26" s="8">
        <f>Milk!D7</f>
        <v>1075.4441640654395</v>
      </c>
      <c r="D26" s="8">
        <f>Milk!E7</f>
        <v>1072.4243484740227</v>
      </c>
      <c r="E26" s="8">
        <f>Milk!F7</f>
        <v>989.86320143758917</v>
      </c>
      <c r="F26" s="59">
        <f>Milk!G7</f>
        <v>1040.2347386095892</v>
      </c>
      <c r="G26" s="59">
        <f>Milk!H7</f>
        <v>1071.2875092948946</v>
      </c>
      <c r="H26" s="23">
        <f t="shared" si="1"/>
        <v>2.9851695519043542E-2</v>
      </c>
      <c r="I26" s="24">
        <f t="shared" si="2"/>
        <v>1049.8507923763068</v>
      </c>
      <c r="J26" s="23">
        <f t="shared" si="0"/>
        <v>2.0418822440535944E-2</v>
      </c>
      <c r="K26" s="117" t="str">
        <f>Milk!L7</f>
        <v>DA (2025a)</v>
      </c>
      <c r="L26" s="117" t="str">
        <f>Milk!M7</f>
        <v>Dairy Australia (2025), NSW Milk Production Report July 2025, last accessed November 2025.</v>
      </c>
    </row>
    <row r="27" spans="1:12" x14ac:dyDescent="0.3">
      <c r="A27" s="9" t="s">
        <v>236</v>
      </c>
      <c r="B27" s="9"/>
      <c r="C27" s="10"/>
      <c r="D27" s="10"/>
      <c r="E27" s="61"/>
      <c r="F27" s="62"/>
      <c r="G27" s="62"/>
      <c r="H27" s="21"/>
      <c r="I27" s="127" t="str">
        <f>IF(ISBLANK(F27),"",IF(ISNA(AVERAGE(C27:F27)),"N/A",IF(ISERROR(AVERAGE(C27:F27)),"N/A",AVERAGE(C27:F27))))</f>
        <v/>
      </c>
      <c r="J27" s="21"/>
      <c r="K27" s="118"/>
      <c r="L27" s="118"/>
    </row>
    <row r="28" spans="1:12" x14ac:dyDescent="0.3">
      <c r="A28" s="22" t="s">
        <v>237</v>
      </c>
      <c r="B28" s="6" t="s">
        <v>238</v>
      </c>
      <c r="C28" s="8">
        <f>Forestry!D8</f>
        <v>5747.0586569999996</v>
      </c>
      <c r="D28" s="8">
        <f>Forestry!E8</f>
        <v>3927.0926420000001</v>
      </c>
      <c r="E28" s="8">
        <f>Forestry!F8</f>
        <v>3469.2511839999902</v>
      </c>
      <c r="F28" s="59">
        <f>Forestry!G8</f>
        <v>3495.9504120000001</v>
      </c>
      <c r="G28" s="59" t="str">
        <f>Forestry!H8</f>
        <v>N/A</v>
      </c>
      <c r="H28" s="59" t="str">
        <f>Forestry!I8</f>
        <v>N/A</v>
      </c>
      <c r="I28" s="59">
        <f>Forestry!J8</f>
        <v>4159.8382237499973</v>
      </c>
      <c r="J28" s="59" t="str">
        <f>Forestry!K8</f>
        <v>N/A</v>
      </c>
      <c r="K28" s="117" t="str">
        <f>Forestry!L8</f>
        <v>ABARES (2025c)</v>
      </c>
      <c r="L28" s="117" t="str">
        <f>Forestry!M8</f>
        <v>Australian Bureau of Agricultural and Resource Economics and Sciences (2025). Australian Forest and Wood Product Statistics September – December 2024. Last accessed August 2025.</v>
      </c>
    </row>
    <row r="29" spans="1:12" x14ac:dyDescent="0.3">
      <c r="A29" s="22" t="s">
        <v>239</v>
      </c>
      <c r="B29" s="6" t="s">
        <v>238</v>
      </c>
      <c r="C29" s="8">
        <f>Forestry!D9</f>
        <v>697.58842742533307</v>
      </c>
      <c r="D29" s="8">
        <f>Forestry!E9</f>
        <v>827.92774342533403</v>
      </c>
      <c r="E29" s="8">
        <f>Forestry!F9</f>
        <v>836.71497642533109</v>
      </c>
      <c r="F29" s="59">
        <f>Forestry!G9</f>
        <v>1017.114423999999</v>
      </c>
      <c r="G29" s="59" t="str">
        <f>Forestry!H9</f>
        <v>N/A</v>
      </c>
      <c r="H29" s="59" t="str">
        <f>Forestry!I9</f>
        <v>N/A</v>
      </c>
      <c r="I29" s="59">
        <f>Forestry!J9</f>
        <v>844.83639281899934</v>
      </c>
      <c r="J29" s="59" t="str">
        <f>Forestry!K9</f>
        <v>N/A</v>
      </c>
      <c r="K29" s="8" t="str">
        <f>Forestry!L9</f>
        <v>ABARES (2025c)</v>
      </c>
      <c r="L29" s="8" t="str">
        <f>Forestry!M9</f>
        <v>Australian Bureau of Agricultural and Resource Economics and Sciences (2025). Australian Forest and Wood Product Statistics September – December 2024. Last accessed August 2025.</v>
      </c>
    </row>
    <row r="30" spans="1:12" x14ac:dyDescent="0.3">
      <c r="A30" s="22" t="s">
        <v>240</v>
      </c>
      <c r="B30" s="6" t="s">
        <v>190</v>
      </c>
      <c r="C30" s="64">
        <f>Fisheries!D6</f>
        <v>5.486802</v>
      </c>
      <c r="D30" s="64">
        <f>Fisheries!E6</f>
        <v>5.5529999999999999</v>
      </c>
      <c r="E30" s="64">
        <f>Fisheries!F6</f>
        <v>6.1713000000000005</v>
      </c>
      <c r="F30" s="131">
        <f>Fisheries!G6</f>
        <v>5.7939499999999997</v>
      </c>
      <c r="G30" s="131" t="str">
        <f>Fisheries!H6</f>
        <v>N/A</v>
      </c>
      <c r="H30" s="131" t="str">
        <f>Fisheries!I6</f>
        <v>N/A</v>
      </c>
      <c r="I30" s="131">
        <f>Fisheries!J6</f>
        <v>5.7512629999999998</v>
      </c>
      <c r="J30" s="131" t="str">
        <f>Fisheries!K6</f>
        <v>N/A</v>
      </c>
      <c r="K30" s="64" t="str">
        <f>Fisheries!L6</f>
        <v>DPI (2025d)</v>
      </c>
      <c r="L30" s="64" t="str">
        <f>Fisheries!M6</f>
        <v>NSW Department of Primary Industries (2024). Aquaculture Production Report 2023-24. Last accessed October 2025. &lt;https://www.dpi.nsw.gov.au/fishing/aquaculture/publications/aquaculture-production-reports&gt;</v>
      </c>
    </row>
    <row r="31" spans="1:12" x14ac:dyDescent="0.3">
      <c r="A31" s="22" t="s">
        <v>241</v>
      </c>
      <c r="B31" s="6" t="s">
        <v>51</v>
      </c>
      <c r="C31" s="64">
        <f>+Fisheries!D7</f>
        <v>5.0069999999999997</v>
      </c>
      <c r="D31" s="64">
        <f>+Fisheries!E7</f>
        <v>5.0890000000000004</v>
      </c>
      <c r="E31" s="64">
        <f>+Fisheries!F7</f>
        <v>4.399</v>
      </c>
      <c r="F31" s="131">
        <f>+Fisheries!G7</f>
        <v>4.4390000000000001</v>
      </c>
      <c r="G31" s="131" t="str">
        <f>+Fisheries!H7</f>
        <v>N/A</v>
      </c>
      <c r="H31" s="131" t="str">
        <f>+Fisheries!I7</f>
        <v>N/A</v>
      </c>
      <c r="I31" s="131">
        <f>+Fisheries!J7</f>
        <v>4.7335000000000003</v>
      </c>
      <c r="J31" s="131" t="str">
        <f>+Fisheries!K7</f>
        <v>N/A</v>
      </c>
      <c r="K31" s="64" t="str">
        <f>+Fisheries!L7</f>
        <v>ABARES (2025f)</v>
      </c>
      <c r="L31" s="64" t="str">
        <f>+Fisheries!M7</f>
        <v>Australian Bureau of Agricultural and Resource Economics (2025). Australian Fisheries and Aquaculture Statistics 2024. Last Accessed October 2024. https://www.agriculture.gov.au/abares/research-topics/fisheries/fisheries-and-aquaculture-statistics</v>
      </c>
    </row>
    <row r="32" spans="1:12" x14ac:dyDescent="0.3">
      <c r="A32" s="22" t="s">
        <v>242</v>
      </c>
      <c r="B32" s="6" t="s">
        <v>51</v>
      </c>
      <c r="C32" s="64">
        <f>Fisheries!D8</f>
        <v>11.547700000000001</v>
      </c>
      <c r="D32" s="64">
        <f>Fisheries!E8</f>
        <v>9.4197999999999986</v>
      </c>
      <c r="E32" s="64">
        <f>Fisheries!F8</f>
        <v>9.9603999999999999</v>
      </c>
      <c r="F32" s="131">
        <f>Fisheries!G8</f>
        <v>10.471399999999999</v>
      </c>
      <c r="G32" s="131" t="str">
        <f>Fisheries!H8</f>
        <v>N/A</v>
      </c>
      <c r="H32" s="131" t="str">
        <f>Fisheries!I8</f>
        <v>N/A</v>
      </c>
      <c r="I32" s="131">
        <f>Fisheries!J8</f>
        <v>10.349824999999999</v>
      </c>
      <c r="J32" s="131" t="str">
        <f>Fisheries!K8</f>
        <v>N/A</v>
      </c>
      <c r="K32" s="64" t="str">
        <f>Fisheries!L8</f>
        <v>ABARES (2025f)</v>
      </c>
      <c r="L32" s="64" t="str">
        <f>Fisheries!M8</f>
        <v>Australian Bureau of Agricultural and Resource Economics (2025). Australian Fisheries and Aquaculture Statistics 2024. Last Accessed October 2024. https://www.agriculture.gov.au/abares/research-topics/fisheries/fisheries-and-aquaculture-statistics</v>
      </c>
    </row>
    <row r="33" spans="1:12" x14ac:dyDescent="0.3">
      <c r="A33" s="26" t="s">
        <v>219</v>
      </c>
      <c r="B33" s="27"/>
      <c r="C33" s="27"/>
      <c r="D33" s="27"/>
      <c r="E33" s="28"/>
      <c r="F33" s="28"/>
      <c r="G33" s="28"/>
      <c r="H33" s="128"/>
      <c r="I33" s="128"/>
      <c r="J33" s="128"/>
      <c r="K33" s="13"/>
      <c r="L33" s="13"/>
    </row>
    <row r="34" spans="1:12" x14ac:dyDescent="0.3">
      <c r="A34" s="13" t="s">
        <v>243</v>
      </c>
      <c r="B34" s="13"/>
      <c r="C34" s="13"/>
      <c r="D34" s="13"/>
      <c r="E34" s="29"/>
      <c r="F34" s="29"/>
      <c r="G34" s="29"/>
      <c r="H34" s="129"/>
      <c r="I34" s="129"/>
      <c r="J34" s="129"/>
      <c r="K34" s="13"/>
      <c r="L34" s="13"/>
    </row>
    <row r="35" spans="1:12" x14ac:dyDescent="0.3">
      <c r="A35" s="13" t="s">
        <v>244</v>
      </c>
      <c r="B35" s="13"/>
      <c r="C35" s="13"/>
      <c r="D35" s="13"/>
      <c r="E35" s="29"/>
      <c r="F35" s="29"/>
      <c r="G35" s="29"/>
      <c r="H35" s="29"/>
      <c r="I35" s="29"/>
      <c r="J35" s="29"/>
      <c r="K35" s="13"/>
      <c r="L35" s="13"/>
    </row>
    <row r="36" spans="1:12" x14ac:dyDescent="0.3">
      <c r="A36" s="13" t="s">
        <v>245</v>
      </c>
      <c r="B36" s="27"/>
      <c r="C36" s="27"/>
      <c r="D36" s="27"/>
      <c r="E36" s="28"/>
      <c r="F36" s="28"/>
      <c r="G36" s="28"/>
      <c r="H36" s="28"/>
      <c r="I36" s="28"/>
      <c r="J36" s="28"/>
      <c r="K36" s="13"/>
      <c r="L36" s="13"/>
    </row>
    <row r="37" spans="1:12" x14ac:dyDescent="0.3">
      <c r="A37" s="13" t="s">
        <v>246</v>
      </c>
      <c r="B37" s="27"/>
      <c r="C37" s="27"/>
      <c r="D37" s="27"/>
      <c r="E37" s="28"/>
      <c r="F37" s="28"/>
      <c r="G37" s="28"/>
      <c r="H37" s="28"/>
      <c r="I37" s="28"/>
      <c r="J37" s="28"/>
      <c r="K37" s="13"/>
      <c r="L37" s="13"/>
    </row>
    <row r="38" spans="1:12" x14ac:dyDescent="0.3">
      <c r="A38" s="13" t="s">
        <v>247</v>
      </c>
      <c r="B38" s="27"/>
      <c r="C38" s="27"/>
      <c r="D38" s="27"/>
      <c r="E38" s="28"/>
      <c r="F38" s="28"/>
      <c r="G38" s="28"/>
      <c r="H38" s="28"/>
      <c r="I38" s="28"/>
      <c r="J38" s="28"/>
      <c r="K38" s="13"/>
      <c r="L38" s="13"/>
    </row>
    <row r="39" spans="1:12" x14ac:dyDescent="0.3">
      <c r="A39" s="13" t="s">
        <v>110</v>
      </c>
      <c r="B39" s="27"/>
      <c r="C39" s="27"/>
      <c r="D39" s="27"/>
      <c r="E39" s="28"/>
      <c r="F39" s="28"/>
      <c r="G39" s="28"/>
      <c r="H39" s="28"/>
      <c r="I39" s="28"/>
      <c r="J39" s="28"/>
      <c r="K39" s="13"/>
      <c r="L39" s="13"/>
    </row>
    <row r="40" spans="1:12" x14ac:dyDescent="0.3">
      <c r="A40" s="13"/>
      <c r="B40" s="27"/>
      <c r="C40" s="27"/>
      <c r="D40" s="27"/>
      <c r="E40" s="28"/>
      <c r="F40" s="28"/>
      <c r="G40" s="28"/>
      <c r="H40" s="28"/>
      <c r="I40" s="28"/>
      <c r="J40" s="28"/>
      <c r="K40" s="13"/>
      <c r="L40" s="13"/>
    </row>
    <row r="41" spans="1:12" ht="46.8" x14ac:dyDescent="0.3">
      <c r="A41" s="5" t="s">
        <v>248</v>
      </c>
      <c r="B41" s="5" t="s">
        <v>38</v>
      </c>
      <c r="C41" s="5" t="str">
        <f>C1</f>
        <v>2020-21</v>
      </c>
      <c r="D41" s="5" t="str">
        <f>D1</f>
        <v>2021-22e</v>
      </c>
      <c r="E41" s="5" t="str">
        <f>E1</f>
        <v>2022-23e</v>
      </c>
      <c r="F41" s="5" t="str">
        <f>F1</f>
        <v>2023-24e</v>
      </c>
      <c r="G41" s="5" t="str">
        <f>+'Gross Value of Production'!G1</f>
        <v>2024-25e</v>
      </c>
      <c r="H41" s="19" t="s">
        <v>39</v>
      </c>
      <c r="I41" s="19" t="s">
        <v>111</v>
      </c>
      <c r="J41" s="19" t="s">
        <v>41</v>
      </c>
      <c r="K41" s="9" t="s">
        <v>42</v>
      </c>
      <c r="L41" s="9" t="s">
        <v>43</v>
      </c>
    </row>
    <row r="42" spans="1:12" x14ac:dyDescent="0.3">
      <c r="A42" s="9" t="s">
        <v>225</v>
      </c>
      <c r="B42" s="9"/>
      <c r="C42" s="20"/>
      <c r="D42" s="20"/>
      <c r="E42" s="57"/>
      <c r="F42" s="57"/>
      <c r="G42" s="57"/>
      <c r="H42" s="58"/>
      <c r="I42" s="58"/>
      <c r="J42" s="58"/>
      <c r="K42" s="11"/>
      <c r="L42" s="11"/>
    </row>
    <row r="43" spans="1:12" x14ac:dyDescent="0.3">
      <c r="A43" s="22" t="s">
        <v>9</v>
      </c>
      <c r="B43" s="6" t="s">
        <v>47</v>
      </c>
      <c r="C43" s="8">
        <f>+Wheat!D4</f>
        <v>4037.0010000000002</v>
      </c>
      <c r="D43" s="8">
        <f>+Wheat!E4</f>
        <v>3607.7049999999999</v>
      </c>
      <c r="E43" s="8">
        <f>+Wheat!F4</f>
        <v>3600</v>
      </c>
      <c r="F43" s="8">
        <f>+Wheat!G4</f>
        <v>3300</v>
      </c>
      <c r="G43" s="8">
        <f>+Wheat!H4</f>
        <v>3900</v>
      </c>
      <c r="H43" s="121">
        <f>+Wheat!I4</f>
        <v>0.18181818181818188</v>
      </c>
      <c r="I43" s="8">
        <f>+Wheat!J4</f>
        <v>3688.9411999999998</v>
      </c>
      <c r="J43" s="121">
        <f>+Wheat!K4</f>
        <v>5.7213923604962913E-2</v>
      </c>
      <c r="K43" s="8" t="str">
        <f>+Wheat!L4</f>
        <v>ABARES (2025a)</v>
      </c>
      <c r="L43" s="8" t="str">
        <f>+Wheat!M4</f>
        <v>Australian Bureau of Agricultural and Resource Economics and Sciences (2025). Australian Crop Report, September 2025. Last accessed October 2025.</v>
      </c>
    </row>
    <row r="44" spans="1:12" x14ac:dyDescent="0.3">
      <c r="A44" s="22" t="s">
        <v>10</v>
      </c>
      <c r="B44" s="6" t="s">
        <v>47</v>
      </c>
      <c r="C44" s="8">
        <f>Barley!D4</f>
        <v>1370.9349999999999</v>
      </c>
      <c r="D44" s="8">
        <f>Barley!E4</f>
        <v>1158.588</v>
      </c>
      <c r="E44" s="8">
        <f>Barley!F4</f>
        <v>780</v>
      </c>
      <c r="F44" s="8">
        <f>Barley!G4</f>
        <v>800</v>
      </c>
      <c r="G44" s="8">
        <f>Barley!H4</f>
        <v>1000</v>
      </c>
      <c r="H44" s="121">
        <f>Barley!I4</f>
        <v>0.25</v>
      </c>
      <c r="I44" s="8">
        <f>Barley!J4</f>
        <v>1021.9046000000001</v>
      </c>
      <c r="J44" s="121">
        <f>Barley!K4</f>
        <v>-2.1435073293534557E-2</v>
      </c>
      <c r="K44" s="8" t="str">
        <f>Barley!L4</f>
        <v>ABARES (2025a)</v>
      </c>
      <c r="L44" s="8" t="str">
        <f>Barley!M4</f>
        <v>Australian Bureau of Agricultural and Resource Economics and Sciences (2025). Australian Crop Report, September 2025. Last accessed October 2025.</v>
      </c>
    </row>
    <row r="45" spans="1:12" x14ac:dyDescent="0.3">
      <c r="A45" s="22" t="s">
        <v>11</v>
      </c>
      <c r="B45" s="6" t="s">
        <v>47</v>
      </c>
      <c r="C45" s="8">
        <f>Rice!D4</f>
        <v>43.906999999999996</v>
      </c>
      <c r="D45" s="8">
        <f>Rice!E4</f>
        <v>61.597000000000001</v>
      </c>
      <c r="E45" s="8">
        <f>Rice!F4</f>
        <v>51</v>
      </c>
      <c r="F45" s="8">
        <f>Rice!G4</f>
        <v>57</v>
      </c>
      <c r="G45" s="8">
        <f>Rice!H4</f>
        <v>43</v>
      </c>
      <c r="H45" s="121">
        <f>Rice!I4</f>
        <v>-0.24561403508771928</v>
      </c>
      <c r="I45" s="8">
        <f>Rice!J4</f>
        <v>51.300800000000002</v>
      </c>
      <c r="J45" s="121">
        <f>Rice!K4</f>
        <v>-0.1618064435642329</v>
      </c>
      <c r="K45" s="8" t="str">
        <f>Rice!L4</f>
        <v>ABARES (2025a)</v>
      </c>
      <c r="L45" s="8" t="str">
        <f>Rice!M4</f>
        <v>Australian Bureau of Agricultural and Resource Economics and Sciences (2025). Australian Crop Report, September 2025. Last accessed October 2025.</v>
      </c>
    </row>
    <row r="46" spans="1:12" x14ac:dyDescent="0.3">
      <c r="A46" s="22" t="s">
        <v>201</v>
      </c>
      <c r="B46" s="6" t="s">
        <v>47</v>
      </c>
      <c r="C46" s="8">
        <f>'Coarse Grains'!D4</f>
        <v>560.255</v>
      </c>
      <c r="D46" s="8">
        <f>'Coarse Grains'!E4</f>
        <v>459.822</v>
      </c>
      <c r="E46" s="8">
        <f>'Coarse Grains'!F4</f>
        <v>455</v>
      </c>
      <c r="F46" s="8">
        <f>'Coarse Grains'!G4</f>
        <v>454</v>
      </c>
      <c r="G46" s="8">
        <f>'Coarse Grains'!H4</f>
        <v>460</v>
      </c>
      <c r="H46" s="121">
        <f>'Coarse Grains'!I4</f>
        <v>1.3215859030837107E-2</v>
      </c>
      <c r="I46" s="8">
        <f>'Coarse Grains'!J4</f>
        <v>477.81540000000007</v>
      </c>
      <c r="J46" s="121">
        <f>'Coarse Grains'!K4</f>
        <v>-3.7285110525948073E-2</v>
      </c>
      <c r="K46" s="8" t="str">
        <f>'Coarse Grains'!L4</f>
        <v>ABARES (2025a)</v>
      </c>
      <c r="L46" s="8" t="str">
        <f>'Coarse Grains'!M4</f>
        <v>Australian Bureau of Agricultural and Resource Economics and Sciences (2025). Australian Crop Report, September 2025. Last accessed October 2025.</v>
      </c>
    </row>
    <row r="47" spans="1:12" x14ac:dyDescent="0.3">
      <c r="A47" s="22" t="s">
        <v>13</v>
      </c>
      <c r="B47" s="6" t="s">
        <v>47</v>
      </c>
      <c r="C47" s="8">
        <f>Pulses!D4</f>
        <v>509.839</v>
      </c>
      <c r="D47" s="8">
        <f>Pulses!E4</f>
        <v>437</v>
      </c>
      <c r="E47" s="8">
        <f>Pulses!F4</f>
        <v>340</v>
      </c>
      <c r="F47" s="8">
        <f>Pulses!G4</f>
        <v>360</v>
      </c>
      <c r="G47" s="8">
        <f>Pulses!H4</f>
        <v>915</v>
      </c>
      <c r="H47" s="121">
        <f>Pulses!I4</f>
        <v>1.5416666666666665</v>
      </c>
      <c r="I47" s="8">
        <f>Pulses!J4</f>
        <v>512.36779999999999</v>
      </c>
      <c r="J47" s="121">
        <f>Pulses!K4</f>
        <v>0.78582650978457269</v>
      </c>
      <c r="K47" s="8" t="str">
        <f>Pulses!L4</f>
        <v>ABARES (2025a)</v>
      </c>
      <c r="L47" s="8" t="str">
        <f>Pulses!M4</f>
        <v>Australian Bureau of Agricultural and Resource Economics and Sciences (2025). Australian Crop Report, September 2025. Last accessed October 2025.</v>
      </c>
    </row>
    <row r="48" spans="1:12" x14ac:dyDescent="0.3">
      <c r="A48" s="22" t="s">
        <v>14</v>
      </c>
      <c r="B48" s="6" t="s">
        <v>47</v>
      </c>
      <c r="C48" s="8">
        <f>Oilseeds!D4</f>
        <v>731</v>
      </c>
      <c r="D48" s="8">
        <f>Oilseeds!E4</f>
        <v>940.71</v>
      </c>
      <c r="E48" s="8">
        <f>Oilseeds!F4</f>
        <v>900</v>
      </c>
      <c r="F48" s="8">
        <f>Oilseeds!G4</f>
        <v>840</v>
      </c>
      <c r="G48" s="8">
        <f>Oilseeds!H4</f>
        <v>980</v>
      </c>
      <c r="H48" s="121">
        <f>Oilseeds!I4</f>
        <v>0.16666666666666674</v>
      </c>
      <c r="I48" s="8">
        <f>Oilseeds!J4</f>
        <v>878.34199999999998</v>
      </c>
      <c r="J48" s="121">
        <f>Oilseeds!K4</f>
        <v>0.11573851643209587</v>
      </c>
      <c r="K48" s="8" t="str">
        <f>Oilseeds!L4</f>
        <v>ABARES (2025a)</v>
      </c>
      <c r="L48" s="8" t="str">
        <f>Oilseeds!M4</f>
        <v>Australian Bureau of Agricultural and Resource Economics and Sciences (2025). Australian Crop Report, September 2025. Last accessed October 2025.</v>
      </c>
    </row>
    <row r="49" spans="1:12" x14ac:dyDescent="0.3">
      <c r="A49" s="22" t="s">
        <v>15</v>
      </c>
      <c r="B49" s="6" t="s">
        <v>47</v>
      </c>
      <c r="C49" s="8">
        <f>'Cotton Lint'!D4</f>
        <v>192.76</v>
      </c>
      <c r="D49" s="8">
        <f>'Cotton Lint'!E4</f>
        <v>406.459</v>
      </c>
      <c r="E49" s="8">
        <f>'Cotton Lint'!F4</f>
        <v>340.04599999999999</v>
      </c>
      <c r="F49" s="8">
        <f>'Cotton Lint'!G4</f>
        <v>337.36200000000002</v>
      </c>
      <c r="G49" s="8">
        <f>'Cotton Lint'!H4</f>
        <v>335.988</v>
      </c>
      <c r="H49" s="121">
        <f>'Cotton Lint'!I4</f>
        <v>-4.0727764241379472E-3</v>
      </c>
      <c r="I49" s="8">
        <f>'Cotton Lint'!J4</f>
        <v>322.52300000000002</v>
      </c>
      <c r="J49" s="121">
        <f>'Cotton Lint'!K4</f>
        <v>4.1748960539248259E-2</v>
      </c>
      <c r="K49" s="8" t="str">
        <f>'Cotton Lint'!L4</f>
        <v>ABARES (2025a)</v>
      </c>
      <c r="L49" s="8" t="str">
        <f>'Cotton Lint'!M4</f>
        <v>Australian Bureau of Agricultural and Resource Economics and Sciences (2025). Australian Crop Report, September 2025. Last accessed October 2025.</v>
      </c>
    </row>
    <row r="50" spans="1:12" x14ac:dyDescent="0.3">
      <c r="A50" s="22" t="s">
        <v>202</v>
      </c>
      <c r="B50" s="6" t="s">
        <v>47</v>
      </c>
      <c r="C50" s="8">
        <f>Sugarcane!D4</f>
        <v>14.712</v>
      </c>
      <c r="D50" s="8">
        <f>Sugarcane!E4</f>
        <v>13.923</v>
      </c>
      <c r="E50" s="8">
        <f>Sugarcane!F4</f>
        <v>12.651</v>
      </c>
      <c r="F50" s="8">
        <f>Sugarcane!G4</f>
        <v>12.29</v>
      </c>
      <c r="G50" s="8">
        <f>Sugarcane!H4</f>
        <v>11.856999999999999</v>
      </c>
      <c r="H50" s="121">
        <f>Sugarcane!I4</f>
        <v>-3.5231895850284745E-2</v>
      </c>
      <c r="I50" s="8">
        <f>Sugarcane!J4</f>
        <v>13.086599999999999</v>
      </c>
      <c r="J50" s="121">
        <f>Sugarcane!K4</f>
        <v>-9.3958705851787339E-2</v>
      </c>
      <c r="K50" s="8" t="str">
        <f>Sugarcane!L4</f>
        <v>ASM (2025)</v>
      </c>
      <c r="L50" s="8" t="str">
        <f>Sugarcane!M4</f>
        <v>Australian Sugar Manufacturers (2025). Industry Stats and Snapshot 2024. Last accessed October 2025.</v>
      </c>
    </row>
    <row r="51" spans="1:12" x14ac:dyDescent="0.3">
      <c r="A51" s="22" t="s">
        <v>249</v>
      </c>
      <c r="B51" s="6" t="s">
        <v>47</v>
      </c>
      <c r="C51" s="8"/>
      <c r="D51" s="65"/>
      <c r="E51" s="63"/>
      <c r="F51" s="63"/>
      <c r="G51" s="63"/>
      <c r="H51" s="63"/>
      <c r="I51" s="63"/>
      <c r="J51" s="63"/>
      <c r="K51" s="63"/>
      <c r="L51" s="63"/>
    </row>
    <row r="52" spans="1:12" x14ac:dyDescent="0.3">
      <c r="A52" s="9" t="s">
        <v>27</v>
      </c>
      <c r="B52" s="9"/>
      <c r="C52" s="10"/>
      <c r="D52" s="10"/>
      <c r="E52" s="62"/>
      <c r="F52" s="62"/>
      <c r="G52" s="62"/>
      <c r="H52" s="62"/>
      <c r="I52" s="62"/>
      <c r="J52" s="62"/>
      <c r="K52" s="62"/>
      <c r="L52" s="62"/>
    </row>
    <row r="53" spans="1:12" x14ac:dyDescent="0.3">
      <c r="A53" s="22" t="s">
        <v>237</v>
      </c>
      <c r="B53" s="6" t="s">
        <v>47</v>
      </c>
      <c r="C53" s="8">
        <f>+Forestry!D7</f>
        <v>55.0320347480503</v>
      </c>
      <c r="D53" s="8">
        <f>+Forestry!E7</f>
        <v>54.989044953797702</v>
      </c>
      <c r="E53" s="8">
        <f>+Forestry!F7</f>
        <v>54.989044953797702</v>
      </c>
      <c r="F53" s="8">
        <f>+Forestry!G7</f>
        <v>55.004044953797703</v>
      </c>
      <c r="G53" s="8" t="str">
        <f>+Forestry!H7</f>
        <v>N/A</v>
      </c>
      <c r="H53" s="8" t="str">
        <f>+Forestry!I7</f>
        <v>N/A</v>
      </c>
      <c r="I53" s="8">
        <f>+Forestry!J7</f>
        <v>55.00354240236085</v>
      </c>
      <c r="J53" s="8" t="str">
        <f>+Forestry!K7</f>
        <v>N/A</v>
      </c>
      <c r="K53" s="8" t="str">
        <f>+Forestry!L7</f>
        <v>ABARES (2025c)</v>
      </c>
      <c r="L53" s="8" t="str">
        <f>+Forestry!M7</f>
        <v>Australian Bureau of Agricultural and Resource Economics and Sciences (2025). Australian Forest and Wood Product Statistics September – December 2024. Last accessed August 2025.</v>
      </c>
    </row>
    <row r="54" spans="1:12" x14ac:dyDescent="0.3">
      <c r="A54" s="22" t="s">
        <v>239</v>
      </c>
      <c r="B54" s="6" t="s">
        <v>47</v>
      </c>
      <c r="C54" s="8">
        <f>Forestry!D6</f>
        <v>292.49563330686499</v>
      </c>
      <c r="D54" s="8">
        <f>Forestry!E6</f>
        <v>291.78440830115699</v>
      </c>
      <c r="E54" s="8">
        <f>Forestry!F6</f>
        <v>294.300572308185</v>
      </c>
      <c r="F54" s="8">
        <f>Forestry!G6</f>
        <v>296.22257230818502</v>
      </c>
      <c r="G54" s="8" t="str">
        <f>Forestry!H6</f>
        <v>N/A</v>
      </c>
      <c r="H54" s="8" t="str">
        <f>Forestry!I6</f>
        <v>N/A</v>
      </c>
      <c r="I54" s="8">
        <f>Forestry!J6</f>
        <v>293.700796556098</v>
      </c>
      <c r="J54" s="8" t="str">
        <f>Forestry!K6</f>
        <v>N/A</v>
      </c>
      <c r="K54" s="8" t="str">
        <f>Forestry!L6</f>
        <v>ABARES (2025c)</v>
      </c>
      <c r="L54" s="8" t="str">
        <f>Forestry!M6</f>
        <v>Australian Bureau of Agricultural and Resource Economics and Sciences (2025). Australian Forest and Wood Product Statistics September – December 2024. Last accessed August 2025.</v>
      </c>
    </row>
    <row r="55" spans="1:12" x14ac:dyDescent="0.3">
      <c r="A55" s="26" t="s">
        <v>219</v>
      </c>
      <c r="B55" s="27"/>
      <c r="C55" s="27"/>
      <c r="D55" s="27"/>
      <c r="E55" s="28"/>
      <c r="F55" s="28"/>
      <c r="G55" s="28"/>
      <c r="H55" s="28"/>
      <c r="I55" s="28"/>
      <c r="J55" s="28"/>
      <c r="K55" s="13"/>
      <c r="L55" s="13"/>
    </row>
    <row r="56" spans="1:12" x14ac:dyDescent="0.3">
      <c r="A56" s="13" t="s">
        <v>243</v>
      </c>
      <c r="B56" s="27"/>
      <c r="C56" s="27"/>
      <c r="D56" s="27"/>
      <c r="E56" s="28"/>
      <c r="F56" s="28"/>
      <c r="G56" s="28"/>
      <c r="H56" s="28"/>
      <c r="I56" s="28"/>
      <c r="J56" s="28"/>
      <c r="K56" s="13"/>
      <c r="L56" s="13"/>
    </row>
    <row r="57" spans="1:12" x14ac:dyDescent="0.3">
      <c r="A57" s="13" t="s">
        <v>246</v>
      </c>
      <c r="B57" s="27"/>
      <c r="C57" s="27"/>
      <c r="D57" s="27"/>
      <c r="E57" s="28"/>
      <c r="F57" s="28"/>
      <c r="G57" s="28"/>
      <c r="H57" s="28"/>
      <c r="I57" s="28"/>
      <c r="J57" s="28"/>
      <c r="K57" s="13"/>
      <c r="L57" s="13"/>
    </row>
    <row r="58" spans="1:12" x14ac:dyDescent="0.3">
      <c r="A58" s="27"/>
      <c r="B58" s="27"/>
      <c r="C58" s="27"/>
      <c r="D58" s="27"/>
      <c r="E58" s="28"/>
      <c r="F58" s="28"/>
      <c r="G58" s="28"/>
      <c r="H58" s="28"/>
      <c r="I58" s="28"/>
      <c r="J58" s="28"/>
      <c r="K58" s="13"/>
      <c r="L58" s="13"/>
    </row>
    <row r="59" spans="1:12" x14ac:dyDescent="0.3">
      <c r="A59" s="27"/>
      <c r="B59" s="27"/>
      <c r="C59" s="27"/>
      <c r="D59" s="27"/>
      <c r="E59" s="28"/>
      <c r="F59" s="28"/>
      <c r="G59" s="28"/>
      <c r="H59" s="28"/>
      <c r="I59" s="28"/>
      <c r="J59" s="28"/>
      <c r="K59" s="13"/>
      <c r="L59" s="13"/>
    </row>
    <row r="60" spans="1:12" ht="46.8" x14ac:dyDescent="0.3">
      <c r="A60" s="5" t="s">
        <v>250</v>
      </c>
      <c r="B60" s="5" t="s">
        <v>38</v>
      </c>
      <c r="C60" s="5" t="str">
        <f t="shared" ref="C60:G60" si="3">C1</f>
        <v>2020-21</v>
      </c>
      <c r="D60" s="5" t="str">
        <f t="shared" si="3"/>
        <v>2021-22e</v>
      </c>
      <c r="E60" s="5" t="str">
        <f t="shared" si="3"/>
        <v>2022-23e</v>
      </c>
      <c r="F60" s="5" t="str">
        <f t="shared" si="3"/>
        <v>2023-24e</v>
      </c>
      <c r="G60" s="5" t="str">
        <f t="shared" si="3"/>
        <v>2024-25e</v>
      </c>
      <c r="H60" s="19" t="s">
        <v>39</v>
      </c>
      <c r="I60" s="19" t="s">
        <v>111</v>
      </c>
      <c r="J60" s="19" t="s">
        <v>41</v>
      </c>
      <c r="K60" s="9" t="s">
        <v>42</v>
      </c>
      <c r="L60" s="9" t="s">
        <v>43</v>
      </c>
    </row>
    <row r="61" spans="1:12" x14ac:dyDescent="0.3">
      <c r="A61" s="15" t="s">
        <v>233</v>
      </c>
      <c r="B61" s="9"/>
      <c r="C61" s="10"/>
      <c r="D61" s="10"/>
      <c r="E61" s="62"/>
      <c r="F61" s="62"/>
      <c r="G61" s="62"/>
      <c r="H61" s="58"/>
      <c r="I61" s="58"/>
      <c r="J61" s="58"/>
      <c r="K61" s="25"/>
      <c r="L61" s="25"/>
    </row>
    <row r="62" spans="1:12" x14ac:dyDescent="0.3">
      <c r="A62" s="22" t="s">
        <v>209</v>
      </c>
      <c r="B62" s="6" t="s">
        <v>113</v>
      </c>
      <c r="C62" s="8">
        <f>Beef!D5</f>
        <v>5572.0460000000003</v>
      </c>
      <c r="D62" s="8">
        <f>Beef!E5</f>
        <v>5823.0290000000005</v>
      </c>
      <c r="E62" s="8">
        <f>Beef!F5</f>
        <v>6134.4070000000002</v>
      </c>
      <c r="F62" s="8">
        <f>Beef!G5</f>
        <v>6196.7169999999996</v>
      </c>
      <c r="G62" s="8" t="str">
        <f>Beef!H5</f>
        <v>N/A</v>
      </c>
      <c r="H62" s="121">
        <f>Beef!I4</f>
        <v>0.1750218662560481</v>
      </c>
      <c r="I62" s="8">
        <f>Beef!J4</f>
        <v>352.87939999999998</v>
      </c>
      <c r="J62" s="121">
        <f>Beef!K4</f>
        <v>0.22395710829252158</v>
      </c>
      <c r="K62" s="8" t="str">
        <f>Beef!L4</f>
        <v>MLA (2025j)</v>
      </c>
      <c r="L62" s="8" t="str">
        <f>Beef!M4</f>
        <v>MLA (2025) MLA Statistics Feedlot data</v>
      </c>
    </row>
    <row r="63" spans="1:12" x14ac:dyDescent="0.3">
      <c r="A63" s="22" t="s">
        <v>251</v>
      </c>
      <c r="B63" s="6" t="s">
        <v>132</v>
      </c>
      <c r="C63" s="64">
        <f>'Sheep Meat'!D4</f>
        <v>20.371834920000001</v>
      </c>
      <c r="D63" s="64">
        <f>'Sheep Meat'!E4</f>
        <v>24.71153365</v>
      </c>
      <c r="E63" s="64">
        <f>'Sheep Meat'!F4</f>
        <v>27.148736080838219</v>
      </c>
      <c r="F63" s="64" t="str">
        <f>'Sheep Meat'!G4</f>
        <v>N/A</v>
      </c>
      <c r="G63" s="8" t="str">
        <f>'Sheep Meat'!H4</f>
        <v>N/A</v>
      </c>
      <c r="H63" s="121">
        <f>'Sheep Meat'!I3</f>
        <v>0.41702250164699373</v>
      </c>
      <c r="I63" s="8">
        <f>'Sheep Meat'!J3</f>
        <v>1408.6020096929813</v>
      </c>
      <c r="J63" s="121">
        <f>'Sheep Meat'!K3</f>
        <v>0.2218932527117039</v>
      </c>
      <c r="K63" s="8" t="str">
        <f>'Sheep Meat'!L3</f>
        <v>ABS (2025b)</v>
      </c>
      <c r="L63" s="8" t="str">
        <f>'Sheep Meat'!M3</f>
        <v>Australian Bureau of Statistics (2025). 7215.0 Livestock Products, Australia. Last accessed September 2025.</v>
      </c>
    </row>
    <row r="64" spans="1:12" x14ac:dyDescent="0.3">
      <c r="A64" s="22" t="s">
        <v>252</v>
      </c>
      <c r="B64" s="6" t="s">
        <v>132</v>
      </c>
      <c r="C64" s="64">
        <f>'Sheep Meat'!D5</f>
        <v>6.2350110700000005</v>
      </c>
      <c r="D64" s="64" t="str">
        <f>'Sheep Meat'!E5</f>
        <v>N/A</v>
      </c>
      <c r="E64" s="64" t="str">
        <f>'Sheep Meat'!F5</f>
        <v>N/A</v>
      </c>
      <c r="F64" s="64" t="str">
        <f>'Sheep Meat'!G5</f>
        <v>N/A</v>
      </c>
      <c r="G64" s="8" t="str">
        <f>'Sheep Meat'!H5</f>
        <v>N/A</v>
      </c>
      <c r="H64" s="121" t="str">
        <f>'Sheep Meat'!I4</f>
        <v>N/A</v>
      </c>
      <c r="I64" s="8">
        <f>'Sheep Meat'!J4</f>
        <v>24.077368216946073</v>
      </c>
      <c r="J64" s="121" t="str">
        <f>'Sheep Meat'!K4</f>
        <v>N/A</v>
      </c>
      <c r="K64" s="8" t="str">
        <f>'Sheep Meat'!L4</f>
        <v>ABS (2023g)</v>
      </c>
      <c r="L64" s="8" t="str">
        <f>'Sheep Meat'!M4</f>
        <v>Australian Bureau of Statistics (2023). 7121.0 Agricultural Commodities, Australia 2021-22. Last accessed October 2023. https://www.abs.gov.au/statistics/industry/agriculture/agricultural-commodities-australia/latest-release</v>
      </c>
    </row>
    <row r="65" spans="1:12" x14ac:dyDescent="0.3">
      <c r="A65" s="22" t="s">
        <v>253</v>
      </c>
      <c r="B65" s="6" t="s">
        <v>132</v>
      </c>
      <c r="C65" s="64">
        <f>Wool!D4</f>
        <v>24.71153365</v>
      </c>
      <c r="D65" s="64">
        <f>Wool!E4</f>
        <v>27.148736080838219</v>
      </c>
      <c r="E65" s="64" t="str">
        <f>Wool!F4</f>
        <v>N/A</v>
      </c>
      <c r="F65" s="64" t="str">
        <f>Wool!G4</f>
        <v>N/A</v>
      </c>
      <c r="G65" s="8" t="str">
        <f>Wool!H4</f>
        <v>N/A</v>
      </c>
      <c r="H65" s="121" t="str">
        <f>Wool!I4</f>
        <v>N/A</v>
      </c>
      <c r="I65" s="8">
        <f>Wool!J4</f>
        <v>25.93013486541911</v>
      </c>
      <c r="J65" s="121" t="str">
        <f>Wool!K4</f>
        <v>N/A</v>
      </c>
      <c r="K65" s="8" t="str">
        <f>Wool!L4</f>
        <v>ABS (2023g)</v>
      </c>
      <c r="L65" s="8" t="str">
        <f>Wool!M4</f>
        <v>Australian Bureau of Statistics (2023). 7121.0 Agricultural Commodities, Australia 2021-22. Last accessed October 2023. https://www.abs.gov.au/statistics/industry/agriculture/agricultural-commodities-australia/latest-release</v>
      </c>
    </row>
    <row r="66" spans="1:12" x14ac:dyDescent="0.3">
      <c r="A66" s="22" t="s">
        <v>254</v>
      </c>
      <c r="B66" s="6" t="s">
        <v>113</v>
      </c>
      <c r="C66" s="8">
        <f>Pork!D4</f>
        <v>435.38722999999999</v>
      </c>
      <c r="D66" s="8">
        <f>Pork!E4</f>
        <v>543.33548999999994</v>
      </c>
      <c r="E66" s="8" t="str">
        <f>Pork!F4</f>
        <v>N/A</v>
      </c>
      <c r="F66" s="8" t="str">
        <f>Pork!G4</f>
        <v>N/A</v>
      </c>
      <c r="G66" s="8" t="str">
        <f>Pork!H4</f>
        <v>N/A</v>
      </c>
      <c r="H66" s="121">
        <f>Pork!I3</f>
        <v>0.12026959500876688</v>
      </c>
      <c r="I66" s="8">
        <f>Pork!J3</f>
        <v>254.79573508806644</v>
      </c>
      <c r="J66" s="121">
        <f>Pork!K3</f>
        <v>0.17772376054992467</v>
      </c>
      <c r="K66" s="8" t="str">
        <f>Pork!L3</f>
        <v>ABS (2025b)</v>
      </c>
      <c r="L66" s="8" t="str">
        <f>Pork!M3</f>
        <v>Australian Bureau of Statistics (2025). 7215.0 Livestock Products, Australia. Last accessed September 2025.</v>
      </c>
    </row>
    <row r="67" spans="1:12" x14ac:dyDescent="0.3">
      <c r="A67" s="22" t="s">
        <v>255</v>
      </c>
      <c r="B67" s="6" t="s">
        <v>132</v>
      </c>
      <c r="C67" s="38">
        <f>Poultry!D4</f>
        <v>39.149834859999999</v>
      </c>
      <c r="D67" s="38" t="str">
        <f>Poultry!E4</f>
        <v>N/A</v>
      </c>
      <c r="E67" s="38" t="str">
        <f>Poultry!F4</f>
        <v>N/A</v>
      </c>
      <c r="F67" s="38" t="str">
        <f>Poultry!G4</f>
        <v>N/A</v>
      </c>
      <c r="G67" s="8" t="str">
        <f>Poultry!H4</f>
        <v>N/A</v>
      </c>
      <c r="H67" s="121">
        <f>Poultry!I3</f>
        <v>0.12135468703315744</v>
      </c>
      <c r="I67" s="8">
        <f>Poultry!J3</f>
        <v>931.46462153754635</v>
      </c>
      <c r="J67" s="121">
        <f>Poultry!K3</f>
        <v>0.25907205167290015</v>
      </c>
      <c r="K67" s="8" t="str">
        <f>Poultry!L3</f>
        <v>ABS (2025d)</v>
      </c>
      <c r="L67" s="8" t="str">
        <f>Poultry!M3</f>
        <v>Australian Bureau of Statistics (2025). 7215.0 Livestock Products, Australia. Last accessed September 2025.</v>
      </c>
    </row>
    <row r="68" spans="1:12" x14ac:dyDescent="0.3">
      <c r="A68" s="22" t="s">
        <v>256</v>
      </c>
      <c r="B68" s="6" t="s">
        <v>132</v>
      </c>
      <c r="C68" s="38">
        <f>Eggs!D4</f>
        <v>5.6959493599999993</v>
      </c>
      <c r="D68" s="38" t="str">
        <f>Eggs!E4</f>
        <v>N/A</v>
      </c>
      <c r="E68" s="38" t="str">
        <f>Eggs!F4</f>
        <v>N/A</v>
      </c>
      <c r="F68" s="38" t="str">
        <f>Eggs!G4</f>
        <v>N/A</v>
      </c>
      <c r="G68" s="8" t="str">
        <f>Eggs!H4</f>
        <v>N/A</v>
      </c>
      <c r="H68" s="121">
        <f>Eggs!I3</f>
        <v>7.8478105509018237E-2</v>
      </c>
      <c r="I68" s="8">
        <f>Eggs!J3</f>
        <v>389.96089496149477</v>
      </c>
      <c r="J68" s="121">
        <f>Eggs!K3</f>
        <v>0.15610590942807345</v>
      </c>
      <c r="K68" s="8" t="str">
        <f>Eggs!L3</f>
        <v>ABS (2025e)</v>
      </c>
      <c r="L68" s="8" t="str">
        <f>Eggs!M3</f>
        <v>Australian Bureau of Statistics (2025). Australian Agriculture: Livestock. https://www.abs.gov.au/statistics/industry/agriculture/australian-agriculture-livestock/2023-24</v>
      </c>
    </row>
    <row r="69" spans="1:12" x14ac:dyDescent="0.3">
      <c r="A69" s="22" t="s">
        <v>257</v>
      </c>
      <c r="B69" s="6" t="s">
        <v>113</v>
      </c>
      <c r="C69" s="8">
        <f>Milk!D4</f>
        <v>282.65899999999999</v>
      </c>
      <c r="D69" s="8">
        <f>Milk!E4</f>
        <v>291.68200000000002</v>
      </c>
      <c r="E69" s="8">
        <f>Milk!F4</f>
        <v>268</v>
      </c>
      <c r="F69" s="8">
        <f>Milk!G4</f>
        <v>291</v>
      </c>
      <c r="G69" s="8" t="str">
        <f>Milk!H4</f>
        <v>N/A</v>
      </c>
      <c r="H69" s="121">
        <f>Milk!I3</f>
        <v>9.5592899925307506E-3</v>
      </c>
      <c r="I69" s="8">
        <f>Milk!J3</f>
        <v>787.35212053234147</v>
      </c>
      <c r="J69" s="121">
        <f>Milk!K3</f>
        <v>0.12755538044292991</v>
      </c>
      <c r="K69" s="8" t="str">
        <f>Milk!L3</f>
        <v>ABS (2025e)</v>
      </c>
      <c r="L69" s="8" t="str">
        <f>Milk!M3</f>
        <v>Australian Bureau of Statistics (2025). Australian Agriculture: Livestock. https://www.abs.gov.au/statistics/industry/agriculture/australian-agriculture-livestock/2023-24</v>
      </c>
    </row>
    <row r="70" spans="1:12" x14ac:dyDescent="0.3">
      <c r="A70" s="22" t="s">
        <v>258</v>
      </c>
      <c r="B70" s="6" t="s">
        <v>113</v>
      </c>
      <c r="C70" s="8">
        <f>Milk!D5</f>
        <v>158.85482999999999</v>
      </c>
      <c r="D70" s="8" t="str">
        <f>Milk!E5</f>
        <v>N/A</v>
      </c>
      <c r="E70" s="8" t="str">
        <f>Milk!F5</f>
        <v>N/A</v>
      </c>
      <c r="F70" s="8" t="str">
        <f>Milk!G5</f>
        <v>N/A</v>
      </c>
      <c r="G70" s="8" t="str">
        <f>Milk!H5</f>
        <v>N/A</v>
      </c>
      <c r="H70" s="121" t="str">
        <f>Milk!I4</f>
        <v>N/A</v>
      </c>
      <c r="I70" s="8">
        <f>Milk!J4</f>
        <v>283.33524999999997</v>
      </c>
      <c r="J70" s="121" t="str">
        <f>Milk!K4</f>
        <v>N/A</v>
      </c>
      <c r="K70" s="8" t="str">
        <f>Milk!L4</f>
        <v>ABS (2025e)</v>
      </c>
      <c r="L70" s="8" t="str">
        <f>Milk!M4</f>
        <v>Australian Bureau of Statistics (2025). Australian Agriculture: Livestock. https://www.abs.gov.au/statistics/industry/agriculture/australian-agriculture-livestock/2023-24</v>
      </c>
    </row>
    <row r="71" spans="1:12" x14ac:dyDescent="0.3">
      <c r="A71" s="26" t="s">
        <v>219</v>
      </c>
      <c r="B71" s="27"/>
      <c r="C71" s="27"/>
      <c r="D71" s="27"/>
      <c r="E71" s="28"/>
      <c r="F71" s="28"/>
      <c r="G71" s="28"/>
      <c r="H71" s="28"/>
      <c r="I71" s="28"/>
      <c r="J71" s="28"/>
      <c r="K71" s="13"/>
      <c r="L71" s="13"/>
    </row>
    <row r="72" spans="1:12" x14ac:dyDescent="0.3">
      <c r="A72" s="13" t="s">
        <v>246</v>
      </c>
      <c r="B72" s="27"/>
      <c r="C72" s="27"/>
      <c r="D72" s="27"/>
      <c r="E72" s="28"/>
      <c r="F72" s="28"/>
      <c r="G72" s="28"/>
      <c r="H72" s="28"/>
      <c r="I72" s="28"/>
      <c r="J72" s="28"/>
      <c r="K72" s="13"/>
      <c r="L72" s="13"/>
    </row>
  </sheetData>
  <conditionalFormatting sqref="A2:L32">
    <cfRule type="expression" dxfId="36" priority="1">
      <formula>MOD(ROW(),2)=0</formula>
    </cfRule>
  </conditionalFormatting>
  <conditionalFormatting sqref="A42:L54">
    <cfRule type="expression" dxfId="35" priority="5">
      <formula>MOD(ROW(),2)=0</formula>
    </cfRule>
  </conditionalFormatting>
  <conditionalFormatting sqref="B12:B16">
    <cfRule type="expression" dxfId="34" priority="8">
      <formula>MOD(ROW(),2)=0</formula>
    </cfRule>
  </conditionalFormatting>
  <conditionalFormatting sqref="F12:L17 F29:L32 A61:L70">
    <cfRule type="expression" dxfId="33" priority="9">
      <formula>MOD(ROW(),2)=0</formula>
    </cfRule>
  </conditionalFormatting>
  <conditionalFormatting sqref="I43:I54">
    <cfRule type="expression" dxfId="32" priority="3">
      <formula>MOD(ROW(),2)=0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49E0-1721-46C5-8FB6-C26D53F498F2}">
  <sheetPr codeName="Sheet24"/>
  <dimension ref="A1:L33"/>
  <sheetViews>
    <sheetView workbookViewId="0"/>
  </sheetViews>
  <sheetFormatPr defaultRowHeight="14.4" x14ac:dyDescent="0.3"/>
  <cols>
    <col min="1" max="1" width="39.33203125" customWidth="1"/>
    <col min="3" max="4" width="9" bestFit="1" customWidth="1"/>
    <col min="5" max="5" width="9.6640625" bestFit="1" customWidth="1"/>
    <col min="6" max="7" width="9" bestFit="1" customWidth="1"/>
    <col min="12" max="12" width="140.77734375" bestFit="1" customWidth="1"/>
  </cols>
  <sheetData>
    <row r="1" spans="1:12" ht="46.8" x14ac:dyDescent="0.3">
      <c r="A1" s="5" t="s">
        <v>259</v>
      </c>
      <c r="B1" s="5" t="s">
        <v>38</v>
      </c>
      <c r="C1" s="5" t="str">
        <f>+'Gross Value of Production'!C1</f>
        <v>2020-21</v>
      </c>
      <c r="D1" s="5" t="str">
        <f>+'Gross Value of Production'!D1</f>
        <v>2021-22e</v>
      </c>
      <c r="E1" s="5" t="str">
        <f>+'Gross Value of Production'!E1</f>
        <v>2022-23e</v>
      </c>
      <c r="F1" s="5" t="str">
        <f>+'Gross Value of Production'!F1</f>
        <v>2023-24e</v>
      </c>
      <c r="G1" s="5" t="str">
        <f>+'Gross Value of Production'!G1</f>
        <v>2024-25e</v>
      </c>
      <c r="H1" s="40" t="s">
        <v>39</v>
      </c>
      <c r="I1" s="19" t="s">
        <v>111</v>
      </c>
      <c r="J1" s="40" t="s">
        <v>41</v>
      </c>
      <c r="K1" s="9" t="s">
        <v>42</v>
      </c>
      <c r="L1" s="9" t="s">
        <v>43</v>
      </c>
    </row>
    <row r="2" spans="1:12" x14ac:dyDescent="0.3">
      <c r="A2" s="9" t="s">
        <v>260</v>
      </c>
      <c r="B2" s="9"/>
      <c r="C2" s="20"/>
      <c r="D2" s="20"/>
      <c r="E2" s="41"/>
      <c r="F2" s="41"/>
      <c r="G2" s="41"/>
      <c r="H2" s="42"/>
      <c r="I2" s="42"/>
      <c r="J2" s="42"/>
      <c r="K2" s="11"/>
      <c r="L2" s="11"/>
    </row>
    <row r="3" spans="1:12" x14ac:dyDescent="0.3">
      <c r="A3" s="22" t="s">
        <v>9</v>
      </c>
      <c r="B3" s="6" t="s">
        <v>53</v>
      </c>
      <c r="C3" s="43">
        <f>Wheat!D7</f>
        <v>308.589</v>
      </c>
      <c r="D3" s="43">
        <f>Wheat!E7</f>
        <v>362.72</v>
      </c>
      <c r="E3" s="43">
        <f>Wheat!F7</f>
        <v>413.11700000000002</v>
      </c>
      <c r="F3" s="43">
        <f>Wheat!G7</f>
        <v>373.65199999999999</v>
      </c>
      <c r="G3" s="43">
        <f>Wheat!H7</f>
        <v>334.21300000000002</v>
      </c>
      <c r="H3" s="44">
        <f>Wheat!I7</f>
        <v>-0.10555008403541255</v>
      </c>
      <c r="I3" s="45">
        <f>Wheat!J7</f>
        <v>358.45819999999998</v>
      </c>
      <c r="J3" s="44">
        <f>Wheat!K7</f>
        <v>-6.7637453962553939E-2</v>
      </c>
      <c r="K3" s="25" t="str">
        <f>Wheat!L7</f>
        <v>ABARES (2025b)</v>
      </c>
      <c r="L3" s="25" t="str">
        <f>Wheat!M7</f>
        <v>Australian Bureau of Agricultural and Resource Economics and Sciences (2025). Agricultural Commodities, September 2025. Last accessed October 2025.</v>
      </c>
    </row>
    <row r="4" spans="1:12" x14ac:dyDescent="0.3">
      <c r="A4" s="22" t="s">
        <v>10</v>
      </c>
      <c r="B4" s="6" t="s">
        <v>53</v>
      </c>
      <c r="C4" s="43">
        <f>Barley!D7</f>
        <v>254.52799999999999</v>
      </c>
      <c r="D4" s="43">
        <f>Barley!E7</f>
        <v>303.08699999999999</v>
      </c>
      <c r="E4" s="43">
        <f>Barley!F7</f>
        <v>339.90600000000001</v>
      </c>
      <c r="F4" s="43">
        <f>Barley!G7</f>
        <v>330.05399999999997</v>
      </c>
      <c r="G4" s="43">
        <f>Barley!H7</f>
        <v>308</v>
      </c>
      <c r="H4" s="44">
        <f>Barley!I7</f>
        <v>-6.6819368951747227E-2</v>
      </c>
      <c r="I4" s="45">
        <f>Barley!J7</f>
        <v>307.11499999999995</v>
      </c>
      <c r="J4" s="44">
        <f>Barley!K7</f>
        <v>2.8816567083993494E-3</v>
      </c>
      <c r="K4" s="25" t="str">
        <f>Barley!L7</f>
        <v>ABARES (2025b)</v>
      </c>
      <c r="L4" s="25" t="str">
        <f>Barley!M7</f>
        <v>Australian Bureau of Agricultural and Resource Economics and Sciences (2025). Agricultural Commodities, September 2025. Last accessed October 2025.</v>
      </c>
    </row>
    <row r="5" spans="1:12" x14ac:dyDescent="0.3">
      <c r="A5" s="22" t="s">
        <v>11</v>
      </c>
      <c r="B5" s="6" t="s">
        <v>53</v>
      </c>
      <c r="C5" s="43">
        <f>Rice!D7</f>
        <v>412.29</v>
      </c>
      <c r="D5" s="43">
        <f>Rice!E7</f>
        <v>397.822</v>
      </c>
      <c r="E5" s="43">
        <f>Rice!F7</f>
        <v>430</v>
      </c>
      <c r="F5" s="43">
        <f>Rice!G7</f>
        <v>400</v>
      </c>
      <c r="G5" s="43">
        <f>Rice!H7</f>
        <v>410</v>
      </c>
      <c r="H5" s="44">
        <f>Rice!I7</f>
        <v>2.4999999999999911E-2</v>
      </c>
      <c r="I5" s="45">
        <f>Rice!J7</f>
        <v>410.0224</v>
      </c>
      <c r="J5" s="44">
        <f>Rice!K7</f>
        <v>-5.4631161614637769E-5</v>
      </c>
      <c r="K5" s="25" t="str">
        <f>Rice!L7</f>
        <v>ABARES (2025b)</v>
      </c>
      <c r="L5" s="25" t="str">
        <f>Rice!M7</f>
        <v>Australian Bureau of Agricultural and Resource Economics and Sciences (2025). Agricultural Commodities, September 2025. Last accessed October 2025.</v>
      </c>
    </row>
    <row r="6" spans="1:12" x14ac:dyDescent="0.3">
      <c r="A6" s="22" t="s">
        <v>201</v>
      </c>
      <c r="B6" s="6" t="s">
        <v>53</v>
      </c>
      <c r="C6" s="43">
        <f>'Coarse Grains'!D7</f>
        <v>329.33</v>
      </c>
      <c r="D6" s="43">
        <f>'Coarse Grains'!E7</f>
        <v>383.36</v>
      </c>
      <c r="E6" s="43">
        <f>'Coarse Grains'!F7</f>
        <v>455.13799999999998</v>
      </c>
      <c r="F6" s="43">
        <f>'Coarse Grains'!G7</f>
        <v>420</v>
      </c>
      <c r="G6" s="43">
        <f>'Coarse Grains'!H7</f>
        <v>360.38299999999998</v>
      </c>
      <c r="H6" s="44">
        <f>'Coarse Grains'!I7</f>
        <v>-0.14194523809523818</v>
      </c>
      <c r="I6" s="45">
        <f>'Coarse Grains'!J7</f>
        <v>389.6422</v>
      </c>
      <c r="J6" s="44">
        <f>'Coarse Grains'!K7</f>
        <v>-7.5092482282463346E-2</v>
      </c>
      <c r="K6" s="25" t="str">
        <f>'Coarse Grains'!L7</f>
        <v>ABARES (2023b)</v>
      </c>
      <c r="L6" s="25" t="str">
        <f>'Coarse Grains'!M7</f>
        <v>Australian Bureau of Agricultural and Resource Economics and Sciences (2023). Agricultural Commodities, September 2023. Last accessed October 2023.</v>
      </c>
    </row>
    <row r="7" spans="1:12" x14ac:dyDescent="0.3">
      <c r="A7" s="22" t="s">
        <v>261</v>
      </c>
      <c r="B7" s="6" t="s">
        <v>53</v>
      </c>
      <c r="C7" s="43">
        <f>Pulses!D7</f>
        <v>592.98299999999995</v>
      </c>
      <c r="D7" s="43">
        <f>Pulses!E7</f>
        <v>683.28300000000002</v>
      </c>
      <c r="E7" s="43">
        <f>Pulses!F7</f>
        <v>626.05999999999995</v>
      </c>
      <c r="F7" s="43">
        <f>Pulses!G7</f>
        <v>734.63300000000004</v>
      </c>
      <c r="G7" s="43">
        <f>Pulses!H7</f>
        <v>855.4</v>
      </c>
      <c r="H7" s="44">
        <f>Pulses!I7</f>
        <v>0.16439092717043735</v>
      </c>
      <c r="I7" s="45">
        <f>Pulses!J7</f>
        <v>698.47180000000003</v>
      </c>
      <c r="J7" s="44">
        <f>Pulses!K7</f>
        <v>0.22467363750404812</v>
      </c>
      <c r="K7" s="25" t="str">
        <f>Pulses!L7</f>
        <v>ABARES (2025b)</v>
      </c>
      <c r="L7" s="25" t="str">
        <f>Pulses!M7</f>
        <v>Australian Bureau of Agricultural and Resource Economics and Sciences (2025). Agricultural Commodities, September 2025. Last accessed October 2025.</v>
      </c>
    </row>
    <row r="8" spans="1:12" x14ac:dyDescent="0.3">
      <c r="A8" s="22" t="s">
        <v>262</v>
      </c>
      <c r="B8" s="6" t="s">
        <v>53</v>
      </c>
      <c r="C8" s="43">
        <f>Oilseeds!D7</f>
        <v>615.95600000000002</v>
      </c>
      <c r="D8" s="43">
        <f>Oilseeds!E7</f>
        <v>880.00300000000004</v>
      </c>
      <c r="E8" s="43">
        <f>Oilseeds!F7</f>
        <v>777.06299999999999</v>
      </c>
      <c r="F8" s="43">
        <f>Oilseeds!G7</f>
        <v>680.07500000000005</v>
      </c>
      <c r="G8" s="43">
        <f>Oilseeds!H7</f>
        <v>803.08100000000002</v>
      </c>
      <c r="H8" s="44">
        <f>Oilseeds!I7</f>
        <v>0.1808712274381501</v>
      </c>
      <c r="I8" s="45">
        <f>Oilseeds!J7</f>
        <v>751.23559999999998</v>
      </c>
      <c r="J8" s="44">
        <f>Oilseeds!K7</f>
        <v>6.9013502554990724E-2</v>
      </c>
      <c r="K8" s="25" t="str">
        <f>Oilseeds!L7</f>
        <v>ABARES (2025b)</v>
      </c>
      <c r="L8" s="25" t="str">
        <f>Oilseeds!M7</f>
        <v>Australian Bureau of Agricultural and Resource Economics and Sciences (2025). Agricultural Commodities, September 2025. Last accessed October 2025.</v>
      </c>
    </row>
    <row r="9" spans="1:12" x14ac:dyDescent="0.3">
      <c r="A9" s="22" t="s">
        <v>15</v>
      </c>
      <c r="B9" s="6" t="s">
        <v>85</v>
      </c>
      <c r="C9" s="43">
        <f>'Cotton Lint'!D7</f>
        <v>587.67349000000002</v>
      </c>
      <c r="D9" s="43">
        <f>'Cotton Lint'!E7</f>
        <v>747.49511000000007</v>
      </c>
      <c r="E9" s="43">
        <f>'Cotton Lint'!F7</f>
        <v>667.10306000000003</v>
      </c>
      <c r="F9" s="43">
        <f>'Cotton Lint'!G7</f>
        <v>648.39825999999994</v>
      </c>
      <c r="G9" s="43">
        <f>'Cotton Lint'!H7</f>
        <v>570.61897999999997</v>
      </c>
      <c r="H9" s="44">
        <f>'Cotton Lint'!I7</f>
        <v>-0.11995602825954521</v>
      </c>
      <c r="I9" s="45">
        <f>'Cotton Lint'!J7</f>
        <v>662.66747999999995</v>
      </c>
      <c r="J9" s="44">
        <f>'Cotton Lint'!K7</f>
        <v>-2.1533001740179025E-2</v>
      </c>
      <c r="K9" s="25" t="str">
        <f>'Cotton Lint'!L7</f>
        <v>ABARES (2025b)</v>
      </c>
      <c r="L9" s="25" t="str">
        <f>'Cotton Lint'!M7</f>
        <v>Australian Bureau of Agricultural and Resource Economics and Sciences (2025). Agricultural Commodities, September 2025. Last accessed October 2025.</v>
      </c>
    </row>
    <row r="10" spans="1:12" x14ac:dyDescent="0.3">
      <c r="A10" s="22" t="s">
        <v>202</v>
      </c>
      <c r="B10" s="6" t="s">
        <v>263</v>
      </c>
      <c r="C10" s="43">
        <f>Sugarcane!D8</f>
        <v>41.26</v>
      </c>
      <c r="D10" s="43">
        <f>Sugarcane!E8</f>
        <v>48.033999999999999</v>
      </c>
      <c r="E10" s="43">
        <f>Sugarcane!F8</f>
        <v>51.628999999999998</v>
      </c>
      <c r="F10" s="43">
        <f>Sugarcane!G8</f>
        <v>72.088999999999999</v>
      </c>
      <c r="G10" s="43">
        <f>Sugarcane!H8</f>
        <v>60.003</v>
      </c>
      <c r="H10" s="51">
        <f>Sugarcane!I8</f>
        <v>-0.16765387229674433</v>
      </c>
      <c r="I10" s="43">
        <f>Sugarcane!J8</f>
        <v>54.602999999999994</v>
      </c>
      <c r="J10" s="51">
        <f>Sugarcane!K8</f>
        <v>9.8895665073347683E-2</v>
      </c>
      <c r="K10" s="43" t="str">
        <f>Sugarcane!L8</f>
        <v>ABARES (2025b)</v>
      </c>
      <c r="L10" s="43" t="str">
        <f>Sugarcane!M8</f>
        <v>Australian Bureau of Agricultural and Resource Economics and Sciences (2025). Agricultural Commodities, September 2025. Last accessed October 2025.</v>
      </c>
    </row>
    <row r="11" spans="1:12" x14ac:dyDescent="0.3">
      <c r="A11" s="9" t="s">
        <v>264</v>
      </c>
      <c r="B11" s="9"/>
      <c r="C11" s="10"/>
      <c r="D11" s="10"/>
      <c r="E11" s="10"/>
      <c r="F11" s="10"/>
      <c r="G11" s="10"/>
      <c r="H11" s="46"/>
      <c r="I11" s="47" t="str">
        <f t="shared" ref="I11:I15" si="0">IF(ISBLANK(F11),"",IF(ISNA(AVERAGE(C11:F11)),"N/A",IF(ISERROR(AVERAGE(C11:F11)-1),"N/A",AVERAGE(C11:F11))))</f>
        <v/>
      </c>
      <c r="J11" s="46"/>
      <c r="K11" s="10"/>
      <c r="L11" s="10"/>
    </row>
    <row r="12" spans="1:12" x14ac:dyDescent="0.3">
      <c r="A12" s="22" t="s">
        <v>265</v>
      </c>
      <c r="B12" s="6" t="s">
        <v>266</v>
      </c>
      <c r="C12" s="48">
        <f>Horticulture!D12</f>
        <v>111.27500000000001</v>
      </c>
      <c r="D12" s="48">
        <f>Horticulture!E12</f>
        <v>108.52499999999999</v>
      </c>
      <c r="E12" s="48">
        <f>Horticulture!F12</f>
        <v>120.70000000000002</v>
      </c>
      <c r="F12" s="48">
        <f>Horticulture!G12</f>
        <v>119.8</v>
      </c>
      <c r="G12" s="48">
        <f>Horticulture!H12</f>
        <v>129.27500000000001</v>
      </c>
      <c r="H12" s="49">
        <f>IF(ISBLANK(F12),"N/A",IF(ISNA(F12/E12-1),"N/A",IF(ISERROR(F12/E12-1),"N/A",F12/E12-1)))</f>
        <v>-7.4565037282520175E-3</v>
      </c>
      <c r="I12" s="50">
        <f t="shared" si="0"/>
        <v>115.075</v>
      </c>
      <c r="J12" s="44">
        <f t="shared" ref="J12:J14" si="1">IF(ISBLANK(G12),"",IF(ISNA(G12/AVERAGE(C12:G12)-1),"N/A",IF(ISERROR(G12/AVERAGE(C12:G12)-1),"N/A",G12/AVERAGE(C12:G12)-1)))</f>
        <v>9.6340584319212885E-2</v>
      </c>
      <c r="K12" s="25" t="str">
        <f>Horticulture!L12</f>
        <v>ABS (2025b)</v>
      </c>
      <c r="L12" s="25" t="str">
        <f>Horticulture!M12</f>
        <v>Australian Bureau of Statistics (2025). 6401.0 Consumer Price Index, Australia, June 2025. Last accessed October 2025.</v>
      </c>
    </row>
    <row r="13" spans="1:12" x14ac:dyDescent="0.3">
      <c r="A13" s="22" t="s">
        <v>267</v>
      </c>
      <c r="B13" s="6" t="s">
        <v>266</v>
      </c>
      <c r="C13" s="48">
        <f>Horticulture!D13</f>
        <v>126.77499999999999</v>
      </c>
      <c r="D13" s="48">
        <f>Horticulture!E13</f>
        <v>138.57499999999999</v>
      </c>
      <c r="E13" s="48">
        <f>Horticulture!F13</f>
        <v>144.47500000000002</v>
      </c>
      <c r="F13" s="48">
        <f>Horticulture!G13</f>
        <v>141.625</v>
      </c>
      <c r="G13" s="48">
        <f>Horticulture!H13</f>
        <v>149.125</v>
      </c>
      <c r="H13" s="49">
        <f>IF(ISBLANK(F13),"N/A",IF(ISNA(F13/E13-1),"N/A",IF(ISERROR(F13/E13-1),"N/A",F13/E13-1)))</f>
        <v>-1.9726596296937293E-2</v>
      </c>
      <c r="I13" s="50">
        <f t="shared" si="0"/>
        <v>137.86250000000001</v>
      </c>
      <c r="J13" s="44">
        <f t="shared" si="1"/>
        <v>6.4304321450237234E-2</v>
      </c>
      <c r="K13" s="25" t="str">
        <f>Horticulture!L13</f>
        <v>ABS (2025b)</v>
      </c>
      <c r="L13" s="25" t="str">
        <f>Horticulture!M13</f>
        <v>Australian Bureau of Statistics (2025). 6401.0 Consumer Price Index, Australia, June 2025. Last accessed October 2025.</v>
      </c>
    </row>
    <row r="14" spans="1:12" x14ac:dyDescent="0.3">
      <c r="A14" s="22" t="s">
        <v>106</v>
      </c>
      <c r="B14" s="6" t="s">
        <v>53</v>
      </c>
      <c r="C14" s="43">
        <f>Wine!D7</f>
        <v>516.33153954537704</v>
      </c>
      <c r="D14" s="43">
        <f>Wine!E7</f>
        <v>491.221438290501</v>
      </c>
      <c r="E14" s="43">
        <f>Wine!F7</f>
        <v>434.12706004008101</v>
      </c>
      <c r="F14" s="43">
        <f>Wine!G7</f>
        <v>437.12781330836702</v>
      </c>
      <c r="G14" s="43">
        <f>Wine!H7</f>
        <v>392.608371987125</v>
      </c>
      <c r="H14" s="44">
        <f>IF(ISBLANK(F14),"N/A",IF(ISNA(F14/E14-1),"N/A",IF(ISERROR(F14/E14-1),"N/A",F14/E14-1)))</f>
        <v>6.9121544001633506E-3</v>
      </c>
      <c r="I14" s="45">
        <f t="shared" si="0"/>
        <v>469.70196279608149</v>
      </c>
      <c r="J14" s="44">
        <f t="shared" si="1"/>
        <v>-0.13576303633389564</v>
      </c>
      <c r="K14" s="25" t="str">
        <f>Wine!L7</f>
        <v>WA (2025)</v>
      </c>
      <c r="L14" s="25" t="str">
        <f>Wine!M7</f>
        <v xml:space="preserve">Wine Australia (2025). National Vintage Report, 2025. Last accessed October 2025. </v>
      </c>
    </row>
    <row r="15" spans="1:12" x14ac:dyDescent="0.3">
      <c r="A15" s="15" t="s">
        <v>233</v>
      </c>
      <c r="B15" s="9"/>
      <c r="C15" s="10"/>
      <c r="D15" s="10"/>
      <c r="E15" s="10"/>
      <c r="F15" s="10"/>
      <c r="G15" s="10"/>
      <c r="H15" s="46"/>
      <c r="I15" s="47" t="str">
        <f t="shared" si="0"/>
        <v/>
      </c>
      <c r="J15" s="46"/>
      <c r="K15" s="10"/>
      <c r="L15" s="10"/>
    </row>
    <row r="16" spans="1:12" x14ac:dyDescent="0.3">
      <c r="A16" s="22" t="s">
        <v>268</v>
      </c>
      <c r="B16" s="6" t="s">
        <v>269</v>
      </c>
      <c r="C16" s="48">
        <f>Beef!D11</f>
        <v>833.18246128168596</v>
      </c>
      <c r="D16" s="48">
        <f>Beef!E11</f>
        <v>1073.4479348531399</v>
      </c>
      <c r="E16" s="48">
        <f>Beef!F11</f>
        <v>813.46335915661302</v>
      </c>
      <c r="F16" s="48">
        <f>Beef!G11</f>
        <v>552.51699338022195</v>
      </c>
      <c r="G16" s="48">
        <f>Beef!H11</f>
        <v>665.41330510356102</v>
      </c>
      <c r="H16" s="51">
        <f>Beef!I11</f>
        <v>0.2043309311314665</v>
      </c>
      <c r="I16" s="48">
        <f>Beef!J11</f>
        <v>787.60481075504435</v>
      </c>
      <c r="J16" s="44">
        <f t="shared" ref="J16:J26" si="2">IF(ISBLANK(G16),"",IF(ISNA(G16/AVERAGE(C16:G16)-1),"N/A",IF(ISERROR(G16/AVERAGE(C16:G16)-1),"N/A",G16/AVERAGE(C16:G16)-1)))</f>
        <v>-0.15514316822715113</v>
      </c>
      <c r="K16" s="48" t="str">
        <f>Beef!L11</f>
        <v>MLA (2025c)</v>
      </c>
      <c r="L16" s="48" t="str">
        <f>Beef!M11</f>
        <v>Meat &amp; Livestock Australia (2025). Australian NLRS Livestock Indicators. https://www.mla.com.au/prices-markets/statistics/nlrs-indicators/.</v>
      </c>
    </row>
    <row r="17" spans="1:12" x14ac:dyDescent="0.3">
      <c r="A17" s="22" t="s">
        <v>270</v>
      </c>
      <c r="B17" s="6" t="s">
        <v>269</v>
      </c>
      <c r="C17" s="48">
        <f>Beef!D12</f>
        <v>298.00284772182198</v>
      </c>
      <c r="D17" s="48">
        <f>Beef!E12</f>
        <v>365.88501226934102</v>
      </c>
      <c r="E17" s="48">
        <f>Beef!F12</f>
        <v>284.43991299301001</v>
      </c>
      <c r="F17" s="48">
        <f>Beef!G12</f>
        <v>209.03008481805799</v>
      </c>
      <c r="G17" s="48">
        <f>Beef!H12</f>
        <v>284.14200350592802</v>
      </c>
      <c r="H17" s="51">
        <f>Beef!I12</f>
        <v>0.35933544567638798</v>
      </c>
      <c r="I17" s="48">
        <f>Beef!J12</f>
        <v>288.29997226163175</v>
      </c>
      <c r="J17" s="44">
        <f t="shared" si="2"/>
        <v>-1.4422369600266105E-2</v>
      </c>
      <c r="K17" s="48" t="str">
        <f>Beef!L12</f>
        <v>MLA (2025c)</v>
      </c>
      <c r="L17" s="48" t="str">
        <f>Beef!M12</f>
        <v>Meat &amp; Livestock Australia (2025). Australian NLRS Livestock Indicators. https://www.mla.com.au/prices-markets/statistics/nlrs-indicators/.</v>
      </c>
    </row>
    <row r="18" spans="1:12" x14ac:dyDescent="0.3">
      <c r="A18" s="22" t="s">
        <v>271</v>
      </c>
      <c r="B18" s="6" t="s">
        <v>269</v>
      </c>
      <c r="C18" s="48">
        <f>Beef!D13</f>
        <v>367.82502801643602</v>
      </c>
      <c r="D18" s="48">
        <f>Beef!E13</f>
        <v>445.37602214967302</v>
      </c>
      <c r="E18" s="48">
        <f>Beef!F13</f>
        <v>368.49145036547901</v>
      </c>
      <c r="F18" s="48">
        <f>Beef!G13</f>
        <v>264.00760966080099</v>
      </c>
      <c r="G18" s="48">
        <f>Beef!H13</f>
        <v>343.41210277048702</v>
      </c>
      <c r="H18" s="51">
        <f>Beef!I13</f>
        <v>0.30076592569322358</v>
      </c>
      <c r="I18" s="48">
        <f>Beef!J13</f>
        <v>357.82244259257527</v>
      </c>
      <c r="J18" s="44">
        <f t="shared" si="2"/>
        <v>-4.0272319750765839E-2</v>
      </c>
      <c r="K18" s="48" t="str">
        <f>Beef!L13</f>
        <v>MLA (2025c)</v>
      </c>
      <c r="L18" s="48" t="str">
        <f>Beef!M13</f>
        <v>Meat &amp; Livestock Australia (2025). Australian NLRS Livestock Indicators. https://www.mla.com.au/prices-markets/statistics/nlrs-indicators/.</v>
      </c>
    </row>
    <row r="19" spans="1:12" x14ac:dyDescent="0.3">
      <c r="A19" s="22" t="s">
        <v>272</v>
      </c>
      <c r="B19" s="6" t="s">
        <v>269</v>
      </c>
      <c r="C19" s="48">
        <f>'Sheep Meat'!D9</f>
        <v>776.46587860958402</v>
      </c>
      <c r="D19" s="48">
        <f>'Sheep Meat'!E9</f>
        <v>860.25317326578204</v>
      </c>
      <c r="E19" s="48">
        <f>'Sheep Meat'!F9</f>
        <v>729.59111910111199</v>
      </c>
      <c r="F19" s="48">
        <f>'Sheep Meat'!G9</f>
        <v>577.90973801922701</v>
      </c>
      <c r="G19" s="48">
        <f>'Sheep Meat'!H9</f>
        <v>827.44703698491605</v>
      </c>
      <c r="H19" s="51">
        <f>'Sheep Meat'!I9</f>
        <v>0.43179286063074951</v>
      </c>
      <c r="I19" s="48">
        <f>'Sheep Meat'!J9</f>
        <v>754.33338919612413</v>
      </c>
      <c r="J19" s="44">
        <f t="shared" si="2"/>
        <v>9.6924846276137178E-2</v>
      </c>
      <c r="K19" s="48" t="str">
        <f>'Sheep Meat'!L9</f>
        <v>MLA (2025c)</v>
      </c>
      <c r="L19" s="48" t="str">
        <f>'Sheep Meat'!M9</f>
        <v>Meat &amp; Livestock Australia (2025). Australian NLRS Livestock Indicators. https://www.mla.com.au/prices-markets/statistics/nlrs-indicators/.</v>
      </c>
    </row>
    <row r="20" spans="1:12" x14ac:dyDescent="0.3">
      <c r="A20" s="22" t="s">
        <v>273</v>
      </c>
      <c r="B20" s="6" t="s">
        <v>269</v>
      </c>
      <c r="C20" s="48">
        <f>'Sheep Meat'!D10</f>
        <v>626.23569206515799</v>
      </c>
      <c r="D20" s="48">
        <f>'Sheep Meat'!E10</f>
        <v>615.19316922227404</v>
      </c>
      <c r="E20" s="48">
        <f>'Sheep Meat'!F10</f>
        <v>416.313697236324</v>
      </c>
      <c r="F20" s="48">
        <f>'Sheep Meat'!G10</f>
        <v>247.45750252222999</v>
      </c>
      <c r="G20" s="48">
        <f>'Sheep Meat'!H10</f>
        <v>429.10215649604203</v>
      </c>
      <c r="H20" s="51">
        <f>'Sheep Meat'!I10</f>
        <v>0.73404383428420905</v>
      </c>
      <c r="I20" s="48">
        <f>'Sheep Meat'!J10</f>
        <v>466.86044350840564</v>
      </c>
      <c r="J20" s="44">
        <f t="shared" si="2"/>
        <v>-8.0877031964015189E-2</v>
      </c>
      <c r="K20" s="48" t="str">
        <f>'Sheep Meat'!L10</f>
        <v>MLA (2025c)</v>
      </c>
      <c r="L20" s="48" t="str">
        <f>'Sheep Meat'!M10</f>
        <v>Meat &amp; Livestock Australia (2025). Australian NLRS Livestock Indicators. https://www.mla.com.au/prices-markets/statistics/nlrs-indicators/.</v>
      </c>
    </row>
    <row r="21" spans="1:12" x14ac:dyDescent="0.3">
      <c r="A21" s="22" t="s">
        <v>274</v>
      </c>
      <c r="B21" s="6" t="s">
        <v>269</v>
      </c>
      <c r="C21" s="48">
        <f>+'Goat Meat'!D5</f>
        <v>814.78260869565202</v>
      </c>
      <c r="D21" s="48">
        <f>+'Goat Meat'!E5</f>
        <v>902.375</v>
      </c>
      <c r="E21" s="48">
        <f>+'Goat Meat'!F5</f>
        <v>493.416666666666</v>
      </c>
      <c r="F21" s="48">
        <f>+'Goat Meat'!G5</f>
        <v>221.625</v>
      </c>
      <c r="G21" s="48">
        <f>+'Goat Meat'!H5</f>
        <v>293.54545454545399</v>
      </c>
      <c r="H21" s="51">
        <f>+'Goat Meat'!I5</f>
        <v>0.32451417730605292</v>
      </c>
      <c r="I21" s="48">
        <f>+'Goat Meat'!J5</f>
        <v>545.14894598155445</v>
      </c>
      <c r="J21" s="44">
        <f t="shared" si="2"/>
        <v>-0.46153164798490443</v>
      </c>
      <c r="K21" s="48" t="str">
        <f>+'Goat Meat'!L5</f>
        <v>MLA (2025c)</v>
      </c>
      <c r="L21" s="48" t="str">
        <f>+'Goat Meat'!M5</f>
        <v>Meat &amp; Livestock Australia (2025). Australian NLRS Livestock Indicators. https://www.mla.com.au/prices-markets/statistics/nlrs-indicators/.</v>
      </c>
    </row>
    <row r="22" spans="1:12" x14ac:dyDescent="0.3">
      <c r="A22" s="22" t="s">
        <v>22</v>
      </c>
      <c r="B22" s="6" t="s">
        <v>269</v>
      </c>
      <c r="C22" s="48">
        <f>Pork!D6</f>
        <v>360.11200000000002</v>
      </c>
      <c r="D22" s="48">
        <f>Pork!E6</f>
        <v>356.83800000000002</v>
      </c>
      <c r="E22" s="48">
        <f>Pork!F6</f>
        <v>369.02300000000002</v>
      </c>
      <c r="F22" s="48">
        <f>Pork!G6</f>
        <v>391.46699999999998</v>
      </c>
      <c r="G22" s="48">
        <f>Pork!H6</f>
        <v>425.97500000000002</v>
      </c>
      <c r="H22" s="51">
        <f>Pork!I6</f>
        <v>8.8150469899123118E-2</v>
      </c>
      <c r="I22" s="48">
        <f>Pork!J6</f>
        <v>380.68299999999999</v>
      </c>
      <c r="J22" s="44">
        <f t="shared" si="2"/>
        <v>0.11897563064281846</v>
      </c>
      <c r="K22" s="48" t="str">
        <f>Pork!L6</f>
        <v>ABARES (2025b)</v>
      </c>
      <c r="L22" s="48" t="str">
        <f>Pork!M6</f>
        <v>Australian Bureau of Agricultural and Resource Economics and Sciences (2025). Agricultural Commodities, September 2025. Last accessed October 2025.</v>
      </c>
    </row>
    <row r="23" spans="1:12" x14ac:dyDescent="0.3">
      <c r="A23" s="22" t="s">
        <v>23</v>
      </c>
      <c r="B23" s="6" t="s">
        <v>269</v>
      </c>
      <c r="C23" s="48">
        <f>Poultry!D6</f>
        <v>219.471</v>
      </c>
      <c r="D23" s="48">
        <f>Poultry!E6</f>
        <v>226.16300000000001</v>
      </c>
      <c r="E23" s="48">
        <f>Poultry!F6</f>
        <v>258.42399999999998</v>
      </c>
      <c r="F23" s="48">
        <f>Poultry!G6</f>
        <v>271.375</v>
      </c>
      <c r="G23" s="48">
        <f>Poultry!H6</f>
        <v>261.995</v>
      </c>
      <c r="H23" s="51">
        <f>Poultry!I6</f>
        <v>-3.4564716720405286E-2</v>
      </c>
      <c r="I23" s="48">
        <f>Poultry!J6</f>
        <v>247.48559999999998</v>
      </c>
      <c r="J23" s="44">
        <f t="shared" si="2"/>
        <v>5.8627249423804928E-2</v>
      </c>
      <c r="K23" s="48" t="str">
        <f>Poultry!L6</f>
        <v>ABARES (2025b)</v>
      </c>
      <c r="L23" s="48" t="str">
        <f>Poultry!M6</f>
        <v>Australian Bureau of Agricultural and Resource Economics and Sciences (2025). Agricultural Commodities, September 2025. Last accessed October 2025.</v>
      </c>
    </row>
    <row r="24" spans="1:12" x14ac:dyDescent="0.3">
      <c r="A24" s="52" t="s">
        <v>275</v>
      </c>
      <c r="B24" s="6" t="s">
        <v>276</v>
      </c>
      <c r="C24" s="25">
        <f>Wool!D9</f>
        <v>1199</v>
      </c>
      <c r="D24" s="25">
        <f>Wool!E9</f>
        <v>1385</v>
      </c>
      <c r="E24" s="25">
        <f>Wool!F9</f>
        <v>1295</v>
      </c>
      <c r="F24" s="25">
        <f>Wool!G9</f>
        <v>1155</v>
      </c>
      <c r="G24" s="25">
        <f>Wool!H9</f>
        <v>1167</v>
      </c>
      <c r="H24" s="51">
        <f>Wool!I9</f>
        <v>1.0389610389610393E-2</v>
      </c>
      <c r="I24" s="25">
        <f>Wool!J9</f>
        <v>1240.2</v>
      </c>
      <c r="J24" s="44">
        <f t="shared" si="2"/>
        <v>-5.9022738268021291E-2</v>
      </c>
      <c r="K24" s="25" t="str">
        <f>Wool!L9</f>
        <v>AWI (2025b)</v>
      </c>
      <c r="L24" s="25" t="str">
        <f>Wool!M9</f>
        <v>Australian Wool Innovation Limited (2025). Australian Wool Innovation Annual Report. Last accessed November 2025.</v>
      </c>
    </row>
    <row r="25" spans="1:12" x14ac:dyDescent="0.3">
      <c r="A25" s="22" t="s">
        <v>277</v>
      </c>
      <c r="B25" s="6" t="s">
        <v>266</v>
      </c>
      <c r="C25" s="53">
        <f>Fisheries!D9</f>
        <v>120.77499999999999</v>
      </c>
      <c r="D25" s="53">
        <f>Fisheries!E9</f>
        <v>121.97499999999999</v>
      </c>
      <c r="E25" s="53">
        <f>Fisheries!F9</f>
        <v>131.80000000000001</v>
      </c>
      <c r="F25" s="53">
        <f>Fisheries!G9</f>
        <v>140.92499999999998</v>
      </c>
      <c r="G25" s="53">
        <f>Fisheries!H9</f>
        <v>141.35</v>
      </c>
      <c r="H25" s="51">
        <f>Fisheries!I9</f>
        <v>3.0157885400037276E-3</v>
      </c>
      <c r="I25" s="53">
        <f>Fisheries!J9</f>
        <v>131.36500000000001</v>
      </c>
      <c r="J25" s="44">
        <f t="shared" si="2"/>
        <v>7.60095915959349E-2</v>
      </c>
      <c r="K25" s="53" t="str">
        <f>Fisheries!L9</f>
        <v>ABS (2025b)</v>
      </c>
      <c r="L25" s="53" t="str">
        <f>Fisheries!M9</f>
        <v>Australian Bureau of Statistics (2025). 6401.0 Consumer Price Index, Australia, June 2025. Last accessed October 2025.</v>
      </c>
    </row>
    <row r="26" spans="1:12" x14ac:dyDescent="0.3">
      <c r="A26" s="22" t="s">
        <v>278</v>
      </c>
      <c r="B26" s="54" t="s">
        <v>166</v>
      </c>
      <c r="C26" s="53">
        <f>Milk!D8</f>
        <v>62.66</v>
      </c>
      <c r="D26" s="53">
        <f>Milk!E8</f>
        <v>64.05</v>
      </c>
      <c r="E26" s="53">
        <f>Milk!F8</f>
        <v>82.07</v>
      </c>
      <c r="F26" s="53">
        <f>Milk!G8</f>
        <v>84.54</v>
      </c>
      <c r="G26" s="25" t="str">
        <f>Milk!H8</f>
        <v>N/A</v>
      </c>
      <c r="H26" s="51" t="str">
        <f>Milk!I8</f>
        <v>N/A</v>
      </c>
      <c r="I26" s="25">
        <f>Milk!J8</f>
        <v>73.33</v>
      </c>
      <c r="J26" s="44" t="str">
        <f t="shared" si="2"/>
        <v>N/A</v>
      </c>
      <c r="K26" s="25" t="str">
        <f>Milk!L8</f>
        <v>DA (2025b)</v>
      </c>
      <c r="L26" s="141" t="str">
        <f>Milk!M8</f>
        <v>Dairy Australia (2025), Australian Dairy Industry In Focus 2024, last accessed October 2025, &lt;https://www.dairyaustralia.com.au/industry-reports/australian-dairy-industry-in-focus&gt;</v>
      </c>
    </row>
    <row r="27" spans="1:12" x14ac:dyDescent="0.3">
      <c r="A27" s="9" t="s">
        <v>279</v>
      </c>
      <c r="B27" s="9"/>
      <c r="C27" s="10"/>
      <c r="D27" s="10"/>
      <c r="E27" s="10"/>
      <c r="F27" s="10"/>
      <c r="G27" s="10"/>
      <c r="H27" s="46"/>
      <c r="I27" s="47" t="str">
        <f t="shared" ref="I27:I30" si="3">IF(ISBLANK(F27),"",IF(ISNA(AVERAGE(C27:F27)),"N/A",IF(ISERROR(AVERAGE(C27:F27)-1),"N/A",AVERAGE(C27:F27))))</f>
        <v/>
      </c>
      <c r="J27" s="46"/>
      <c r="K27" s="10"/>
      <c r="L27" s="10"/>
    </row>
    <row r="28" spans="1:12" x14ac:dyDescent="0.3">
      <c r="A28" s="22" t="s">
        <v>280</v>
      </c>
      <c r="B28" s="6" t="s">
        <v>281</v>
      </c>
      <c r="C28" s="43">
        <f>Forestry!D10</f>
        <v>62.782423726063257</v>
      </c>
      <c r="D28" s="43">
        <f>Forestry!E10</f>
        <v>72.526096619449973</v>
      </c>
      <c r="E28" s="43">
        <f>Forestry!F10</f>
        <v>82.203828739112936</v>
      </c>
      <c r="F28" s="43">
        <f>Forestry!G10</f>
        <v>87.064030799961756</v>
      </c>
      <c r="G28" s="25" t="str">
        <f>Forestry!H10</f>
        <v>N/A</v>
      </c>
      <c r="H28" s="49">
        <f>IF(ISBLANK(F28),"N/A",IF(ISNA(F28/E28-1),"N/A",IF(ISERROR(F28/E28-1),"N/A",F28/E28-1)))</f>
        <v>5.9123791864652109E-2</v>
      </c>
      <c r="I28" s="55">
        <f t="shared" si="3"/>
        <v>76.144094971146984</v>
      </c>
      <c r="J28" s="49">
        <f>IF(ISBLANK(F28),"",IF(ISNA(F28/AVERAGE(C28:F28)-1),"N/A",IF(ISERROR(F28/AVERAGE(C28:F28)-1),"N/A",F28/AVERAGE(C28:F28)-1)))</f>
        <v>0.14341145998192806</v>
      </c>
      <c r="K28" s="25" t="str">
        <f>Forestry!L10</f>
        <v>ABARES (2025c)</v>
      </c>
      <c r="L28" s="25" t="str">
        <f>Forestry!M10</f>
        <v>Australian Bureau of Agricultural and Resource Economics and Sciences (2025). Australian Forest and Wood Product Statistics September – December 2024. Last accessed August 2025.</v>
      </c>
    </row>
    <row r="29" spans="1:12" x14ac:dyDescent="0.3">
      <c r="A29" s="22" t="s">
        <v>282</v>
      </c>
      <c r="B29" s="6" t="s">
        <v>281</v>
      </c>
      <c r="C29" s="43">
        <f>Forestry!D11</f>
        <v>135.58223353455503</v>
      </c>
      <c r="D29" s="43">
        <f>Forestry!E11</f>
        <v>133.79018535833555</v>
      </c>
      <c r="E29" s="43">
        <f>Forestry!F11</f>
        <v>133.63701079853962</v>
      </c>
      <c r="F29" s="43">
        <f>Forestry!G11</f>
        <v>133.53761424969775</v>
      </c>
      <c r="G29" s="25" t="str">
        <f>Forestry!H11</f>
        <v>N/A</v>
      </c>
      <c r="H29" s="49">
        <f>IF(ISBLANK(F29),"N/A",IF(ISNA(F29/E29-1),"N/A",IF(ISERROR(F29/E29-1),"N/A",F29/E29-1)))</f>
        <v>-7.4378009690523328E-4</v>
      </c>
      <c r="I29" s="55">
        <f t="shared" si="3"/>
        <v>134.13676098528197</v>
      </c>
      <c r="J29" s="49">
        <f>IF(ISBLANK(F29),"",IF(ISNA(F29/AVERAGE(C29:F29)-1),"N/A",IF(ISERROR(F29/AVERAGE(C29:F29)-1),"N/A",F29/AVERAGE(C29:F29)-1)))</f>
        <v>-4.4666855765955749E-3</v>
      </c>
      <c r="K29" s="25" t="str">
        <f>Forestry!L11</f>
        <v>ABARES (2025c)</v>
      </c>
      <c r="L29" s="25" t="str">
        <f>Forestry!M11</f>
        <v>Australian Bureau of Agricultural and Resource Economics and Sciences (2025). Australian Forest and Wood Product Statistics September – December 2024. Last accessed August 2025.</v>
      </c>
    </row>
    <row r="30" spans="1:12" x14ac:dyDescent="0.3">
      <c r="A30" s="22" t="s">
        <v>283</v>
      </c>
      <c r="B30" s="6" t="s">
        <v>266</v>
      </c>
      <c r="C30" s="53">
        <f>+Fisheries!D9</f>
        <v>120.77499999999999</v>
      </c>
      <c r="D30" s="53">
        <f>+Fisheries!E9</f>
        <v>121.97499999999999</v>
      </c>
      <c r="E30" s="53">
        <f>+Fisheries!F9</f>
        <v>131.80000000000001</v>
      </c>
      <c r="F30" s="53">
        <f>+Fisheries!G9</f>
        <v>140.92499999999998</v>
      </c>
      <c r="G30" s="53">
        <f>+Fisheries!H9</f>
        <v>141.35</v>
      </c>
      <c r="H30" s="56">
        <f>IF(ISBLANK(F30),"N/A",IF(ISNA(F30/E30-1),"N/A",IF(ISERROR(F30/E30-1),"N/A",F30/E30-1)))</f>
        <v>6.9233687405159117E-2</v>
      </c>
      <c r="I30" s="56">
        <f t="shared" si="3"/>
        <v>128.86875000000001</v>
      </c>
      <c r="J30" s="49">
        <f>IF(ISBLANK(F30),"",IF(ISNA(F30/AVERAGE(C30:F30)-1),"N/A",IF(ISERROR(F30/AVERAGE(C30:F30)-1),"N/A",F30/AVERAGE(C30:F30)-1)))</f>
        <v>9.3554488578495354E-2</v>
      </c>
      <c r="K30" s="25" t="str">
        <f>+Fisheries!L9</f>
        <v>ABS (2025b)</v>
      </c>
      <c r="L30" s="25" t="str">
        <f>+Fisheries!M9</f>
        <v>Australian Bureau of Statistics (2025). 6401.0 Consumer Price Index, Australia, June 2025. Last accessed October 2025.</v>
      </c>
    </row>
    <row r="31" spans="1:12" x14ac:dyDescent="0.3">
      <c r="A31" s="26" t="s">
        <v>219</v>
      </c>
      <c r="B31" s="27"/>
      <c r="C31" s="27"/>
      <c r="D31" s="27"/>
      <c r="E31" s="27"/>
      <c r="F31" s="27"/>
      <c r="G31" s="27"/>
      <c r="H31" s="27"/>
      <c r="I31" s="27"/>
      <c r="J31" s="27"/>
      <c r="K31" s="13"/>
      <c r="L31" s="13"/>
    </row>
    <row r="32" spans="1:12" x14ac:dyDescent="0.3">
      <c r="A32" s="13" t="s">
        <v>182</v>
      </c>
      <c r="B32" s="27"/>
      <c r="C32" s="27"/>
      <c r="D32" s="27"/>
      <c r="E32" s="27"/>
      <c r="F32" s="27"/>
      <c r="G32" s="27"/>
      <c r="H32" s="27"/>
      <c r="I32" s="27"/>
      <c r="J32" s="27"/>
      <c r="K32" s="13"/>
      <c r="L32" s="13"/>
    </row>
    <row r="33" spans="1:12" x14ac:dyDescent="0.3">
      <c r="A33" s="13" t="s">
        <v>246</v>
      </c>
      <c r="B33" s="27"/>
      <c r="C33" s="27"/>
      <c r="D33" s="27"/>
      <c r="E33" s="27"/>
      <c r="F33" s="27"/>
      <c r="G33" s="27"/>
      <c r="H33" s="27"/>
      <c r="I33" s="27"/>
      <c r="J33" s="27"/>
      <c r="K33" s="13"/>
      <c r="L33" s="13"/>
    </row>
  </sheetData>
  <conditionalFormatting sqref="A25:B25">
    <cfRule type="expression" dxfId="31" priority="15">
      <formula>MOD(ROW(),2)=0</formula>
    </cfRule>
  </conditionalFormatting>
  <conditionalFormatting sqref="A7:E30">
    <cfRule type="expression" dxfId="30" priority="13">
      <formula>MOD(ROW(),2)=0</formula>
    </cfRule>
  </conditionalFormatting>
  <conditionalFormatting sqref="A3:G6">
    <cfRule type="expression" dxfId="29" priority="10">
      <formula>MOD(ROW(),2)=0</formula>
    </cfRule>
  </conditionalFormatting>
  <conditionalFormatting sqref="A2:L2 C7:G10 C12:G14 C28:G29">
    <cfRule type="expression" dxfId="28" priority="19">
      <formula>MOD(ROW(),2)=0</formula>
    </cfRule>
  </conditionalFormatting>
  <conditionalFormatting sqref="B14">
    <cfRule type="expression" dxfId="27" priority="16">
      <formula>MOD(ROW(),2)=0</formula>
    </cfRule>
  </conditionalFormatting>
  <conditionalFormatting sqref="C10:L10">
    <cfRule type="expression" dxfId="26" priority="3">
      <formula>MOD(ROW(),2)=0</formula>
    </cfRule>
  </conditionalFormatting>
  <conditionalFormatting sqref="C16:L26">
    <cfRule type="expression" dxfId="25" priority="12">
      <formula>MOD(ROW(),2)=0</formula>
    </cfRule>
  </conditionalFormatting>
  <conditionalFormatting sqref="D9:E9">
    <cfRule type="expression" dxfId="24" priority="1">
      <formula>MOD(ROW(),2)=0</formula>
    </cfRule>
  </conditionalFormatting>
  <conditionalFormatting sqref="F3:L30">
    <cfRule type="expression" dxfId="23" priority="4">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7B38-FFA5-409F-92D9-5EA7042ABA70}">
  <sheetPr codeName="Sheet25"/>
  <dimension ref="A1:L91"/>
  <sheetViews>
    <sheetView workbookViewId="0"/>
  </sheetViews>
  <sheetFormatPr defaultRowHeight="14.4" x14ac:dyDescent="0.3"/>
  <cols>
    <col min="1" max="1" width="22.44140625" customWidth="1"/>
    <col min="3" max="7" width="9.6640625" bestFit="1" customWidth="1"/>
    <col min="9" max="9" width="9.6640625" bestFit="1" customWidth="1"/>
  </cols>
  <sheetData>
    <row r="1" spans="1:12" ht="46.8" x14ac:dyDescent="0.3">
      <c r="A1" s="5" t="s">
        <v>284</v>
      </c>
      <c r="B1" s="5" t="s">
        <v>38</v>
      </c>
      <c r="C1" s="5" t="str">
        <f>+'Gross Value of Production'!C1</f>
        <v>2020-21</v>
      </c>
      <c r="D1" s="5" t="str">
        <f>+'Gross Value of Production'!D1</f>
        <v>2021-22e</v>
      </c>
      <c r="E1" s="5" t="str">
        <f>+'Gross Value of Production'!E1</f>
        <v>2022-23e</v>
      </c>
      <c r="F1" s="5" t="str">
        <f>+'Gross Value of Production'!F1</f>
        <v>2023-24e</v>
      </c>
      <c r="G1" s="5" t="str">
        <f>+'Gross Value of Production'!G1</f>
        <v>2024-25e</v>
      </c>
      <c r="H1" s="19" t="s">
        <v>39</v>
      </c>
      <c r="I1" s="19" t="s">
        <v>111</v>
      </c>
      <c r="J1" s="19" t="s">
        <v>41</v>
      </c>
      <c r="K1" s="9" t="s">
        <v>42</v>
      </c>
      <c r="L1" s="9" t="s">
        <v>43</v>
      </c>
    </row>
    <row r="2" spans="1:12" x14ac:dyDescent="0.3">
      <c r="A2" s="9" t="s">
        <v>200</v>
      </c>
      <c r="B2" s="9" t="s">
        <v>45</v>
      </c>
      <c r="C2" s="30">
        <f>SUM(C3,C7,C11,C14,C18,C22,C26,C30)</f>
        <v>2395.716350480965</v>
      </c>
      <c r="D2" s="30">
        <f>SUM(D3,D7,D11,D14,D18,D22,D26,D30)</f>
        <v>5902.099842648212</v>
      </c>
      <c r="E2" s="30">
        <f>SUM(E3,E7,E11,E14,E18,E22,E26,E30)</f>
        <v>7563.8113888486605</v>
      </c>
      <c r="F2" s="30">
        <f>SUM(F3,F7,F11,F14,F18,F22,F26,F30)</f>
        <v>5308.8004154642449</v>
      </c>
      <c r="G2" s="30">
        <f>SUM(G3,G7,G11,G14,G18,G22,G26,G30)</f>
        <v>6294.9081386911139</v>
      </c>
      <c r="H2" s="21">
        <f>IF(ISBLANK(G2),"N/A",IF(ISNA(G2/F2-1),"N/A",IF(ISERROR(G2/F2-1),"N/A",G2/F2-1)))</f>
        <v>0.18574963194215988</v>
      </c>
      <c r="I2" s="31">
        <f>IF(ISBLANK(G2),"",IF(ISNA(AVERAGE(C2:G2)),"N/A",IF(ISERROR(AVERAGE(C2:G2)),"N/A",AVERAGE(C2:G2))))</f>
        <v>5493.0672272266393</v>
      </c>
      <c r="J2" s="21">
        <f>IF(ISBLANK(G2),"",IF(ISNA(G2/AVERAGE(C2:G2)-1),"N/A",IF(ISERROR(G2/AVERAGE(C2:G2)-1),"N/A",G2/AVERAGE(C2:G2)-1)))</f>
        <v>0.14597325652417159</v>
      </c>
      <c r="K2" s="11"/>
      <c r="L2" s="11"/>
    </row>
    <row r="3" spans="1:12" x14ac:dyDescent="0.3">
      <c r="A3" s="22" t="s">
        <v>9</v>
      </c>
      <c r="B3" s="6" t="s">
        <v>45</v>
      </c>
      <c r="C3" s="32">
        <f>Wheat!D8</f>
        <v>1422.9298839999999</v>
      </c>
      <c r="D3" s="32">
        <f>Wheat!E8</f>
        <v>2921.8144390000002</v>
      </c>
      <c r="E3" s="32">
        <f>Wheat!F8</f>
        <v>3292.7687769999998</v>
      </c>
      <c r="F3" s="32">
        <f>Wheat!G8</f>
        <v>1104.471693</v>
      </c>
      <c r="G3" s="32">
        <f>Wheat!H8</f>
        <v>1910.1549729999999</v>
      </c>
      <c r="H3" s="23">
        <f t="shared" ref="H3:H69" si="0">IF(ISBLANK(G3),"N/A",IF(ISNA(G3/F3-1),"N/A",IF(ISERROR(G3/F3-1),"N/A",G3/F3-1)))</f>
        <v>0.72947390603699258</v>
      </c>
      <c r="I3" s="36">
        <f t="shared" ref="I3:I69" si="1">IF(ISBLANK(G3),"",IF(ISNA(AVERAGE(C3:G3)),"N/A",IF(ISERROR(AVERAGE(C3:G3)),"N/A",AVERAGE(C3:G3))))</f>
        <v>2130.4279532</v>
      </c>
      <c r="J3" s="23">
        <f>IF(ISBLANK(G3),"",IF(ISNA(G3/AVERAGE(C3:G3)-1),"N/A",IF(ISERROR(G3/AVERAGE(C3:G3)-1),"N/A",G3/AVERAGE(C3:G3)-1)))</f>
        <v>-0.10339377112900727</v>
      </c>
      <c r="K3" s="8" t="str">
        <f>Wheat!L8</f>
        <v>S&amp;P Global (2025)</v>
      </c>
      <c r="L3" s="8" t="str">
        <f>Wheat!M8</f>
        <v>S&amp;P Global (2025). Global Trade Atlas. https://connect.spglobal.com/gta/home/. Last accessed September 2025</v>
      </c>
    </row>
    <row r="4" spans="1:12" x14ac:dyDescent="0.3">
      <c r="A4" s="37" t="str">
        <f>Wheat!B9</f>
        <v>Vietnam</v>
      </c>
      <c r="B4" s="6" t="s">
        <v>45</v>
      </c>
      <c r="C4" s="32">
        <f>Wheat!D9</f>
        <v>264.67167699999999</v>
      </c>
      <c r="D4" s="32">
        <f>Wheat!E9</f>
        <v>693.68962299999998</v>
      </c>
      <c r="E4" s="32">
        <f>Wheat!F9</f>
        <v>593.48110099999997</v>
      </c>
      <c r="F4" s="32">
        <f>Wheat!G9</f>
        <v>227.35570999999999</v>
      </c>
      <c r="G4" s="32">
        <f>Wheat!H9</f>
        <v>349.12148000000002</v>
      </c>
      <c r="H4" s="23">
        <f t="shared" si="0"/>
        <v>0.53557383713828899</v>
      </c>
      <c r="I4" s="36">
        <f t="shared" si="1"/>
        <v>425.66391820000001</v>
      </c>
      <c r="J4" s="23">
        <f>IF(ISBLANK(G4),"",IF(ISNA(G4/AVERAGE(C4:G4)-1),"N/A",IF(ISERROR(G4/AVERAGE(C4:G4)-1),"N/A",G4/AVERAGE(C4:G4)-1)))</f>
        <v>-0.17981894853497116</v>
      </c>
      <c r="K4" s="8" t="str">
        <f>Wheat!L9</f>
        <v>S&amp;P Global (2025)</v>
      </c>
      <c r="L4" s="8" t="str">
        <f>Wheat!M9</f>
        <v>S&amp;P Global (2025). Global Trade Atlas. https://connect.spglobal.com/gta/home/. Last accessed September 2025</v>
      </c>
    </row>
    <row r="5" spans="1:12" x14ac:dyDescent="0.3">
      <c r="A5" s="37" t="str">
        <f>Wheat!B11</f>
        <v>China</v>
      </c>
      <c r="B5" s="6" t="s">
        <v>45</v>
      </c>
      <c r="C5" s="32">
        <f>Wheat!D10</f>
        <v>282.534088</v>
      </c>
      <c r="D5" s="32">
        <f>Wheat!E10</f>
        <v>363.49632600000001</v>
      </c>
      <c r="E5" s="32">
        <f>Wheat!F10</f>
        <v>184.55249900000001</v>
      </c>
      <c r="F5" s="32">
        <f>Wheat!G10</f>
        <v>101.055823</v>
      </c>
      <c r="G5" s="32">
        <f>Wheat!H10</f>
        <v>340.43573099999998</v>
      </c>
      <c r="H5" s="23">
        <f t="shared" si="0"/>
        <v>2.3687888623696622</v>
      </c>
      <c r="I5" s="36">
        <f t="shared" si="1"/>
        <v>254.41489340000004</v>
      </c>
      <c r="J5" s="23">
        <f t="shared" ref="J5:J71" si="2">IF(ISBLANK(G5),"",IF(ISNA(G5/AVERAGE(C5:G5)-1),"N/A",IF(ISERROR(G5/AVERAGE(C5:G5)-1),"N/A",G5/AVERAGE(C5:G5)-1)))</f>
        <v>0.33811242907369787</v>
      </c>
      <c r="K5" s="8" t="str">
        <f>Wheat!L10</f>
        <v>S&amp;P Global (2025)</v>
      </c>
      <c r="L5" s="8" t="str">
        <f>Wheat!M10</f>
        <v>S&amp;P Global (2025). Global Trade Atlas. https://connect.spglobal.com/gta/home/. Last accessed September 2025</v>
      </c>
    </row>
    <row r="6" spans="1:12" x14ac:dyDescent="0.3">
      <c r="A6" s="37" t="str">
        <f>Wheat!B12</f>
        <v xml:space="preserve">Total </v>
      </c>
      <c r="B6" s="6" t="s">
        <v>45</v>
      </c>
      <c r="C6" s="32">
        <f>Wheat!D11</f>
        <v>162.24808200000001</v>
      </c>
      <c r="D6" s="32">
        <f>Wheat!E11</f>
        <v>558.09519299999999</v>
      </c>
      <c r="E6" s="32">
        <f>Wheat!F11</f>
        <v>873.57283800000005</v>
      </c>
      <c r="F6" s="32">
        <f>Wheat!G11</f>
        <v>171.56925899999999</v>
      </c>
      <c r="G6" s="32">
        <f>Wheat!H11</f>
        <v>146.22515200000001</v>
      </c>
      <c r="H6" s="23">
        <f t="shared" si="0"/>
        <v>-0.14771939418354652</v>
      </c>
      <c r="I6" s="36">
        <f t="shared" si="1"/>
        <v>382.34210480000002</v>
      </c>
      <c r="J6" s="23">
        <f t="shared" si="2"/>
        <v>-0.61755414806724152</v>
      </c>
      <c r="K6" s="8" t="str">
        <f>Wheat!L11</f>
        <v>S&amp;P Global (2025)</v>
      </c>
      <c r="L6" s="8" t="str">
        <f>Wheat!M11</f>
        <v>S&amp;P Global (2025). Global Trade Atlas. https://connect.spglobal.com/gta/home/. Last accessed September 2025</v>
      </c>
    </row>
    <row r="7" spans="1:12" x14ac:dyDescent="0.3">
      <c r="A7" s="22" t="s">
        <v>285</v>
      </c>
      <c r="B7" s="6" t="s">
        <v>45</v>
      </c>
      <c r="C7" s="32">
        <f>Barley!D8</f>
        <v>48.929844000000003</v>
      </c>
      <c r="D7" s="32">
        <f>Barley!E8</f>
        <v>241.25100699999999</v>
      </c>
      <c r="E7" s="32">
        <f>Barley!F8</f>
        <v>54.396723999999999</v>
      </c>
      <c r="F7" s="32">
        <f>Barley!G8</f>
        <v>32.168587000000002</v>
      </c>
      <c r="G7" s="32">
        <f>Barley!H8</f>
        <v>226.44930299999999</v>
      </c>
      <c r="H7" s="23">
        <f t="shared" si="0"/>
        <v>6.0394544528797605</v>
      </c>
      <c r="I7" s="36">
        <f t="shared" si="1"/>
        <v>120.639093</v>
      </c>
      <c r="J7" s="23">
        <f t="shared" si="2"/>
        <v>0.87708061598241605</v>
      </c>
      <c r="K7" s="8" t="str">
        <f>Barley!L8</f>
        <v>S&amp;P Global (2025)</v>
      </c>
      <c r="L7" s="8" t="str">
        <f>Barley!M8</f>
        <v>S&amp;P Global (2025). Global Trade Atlas. https://connect.spglobal.com/gta/home/. Last accessed September 2025</v>
      </c>
    </row>
    <row r="8" spans="1:12" x14ac:dyDescent="0.3">
      <c r="A8" s="37" t="str">
        <f>Barley!B9</f>
        <v>China</v>
      </c>
      <c r="B8" s="6" t="s">
        <v>45</v>
      </c>
      <c r="C8" s="32">
        <f>Barley!D9</f>
        <v>0</v>
      </c>
      <c r="D8" s="32">
        <f>Barley!E9</f>
        <v>0</v>
      </c>
      <c r="E8" s="32">
        <f>Barley!F9</f>
        <v>0</v>
      </c>
      <c r="F8" s="32">
        <f>Barley!G9</f>
        <v>3.639173</v>
      </c>
      <c r="G8" s="32">
        <f>Barley!H9</f>
        <v>202.87004200000001</v>
      </c>
      <c r="H8" s="23">
        <f t="shared" si="0"/>
        <v>54.746193434607264</v>
      </c>
      <c r="I8" s="36">
        <f t="shared" si="1"/>
        <v>41.301843000000005</v>
      </c>
      <c r="J8" s="23">
        <f t="shared" si="2"/>
        <v>3.9118883629478711</v>
      </c>
      <c r="K8" s="8" t="str">
        <f>Barley!L9</f>
        <v>S&amp;P Global (2025)</v>
      </c>
      <c r="L8" s="8" t="str">
        <f>Barley!M9</f>
        <v>S&amp;P Global (2025). Global Trade Atlas. https://connect.spglobal.com/gta/home/. Last accessed September 2025</v>
      </c>
    </row>
    <row r="9" spans="1:12" x14ac:dyDescent="0.3">
      <c r="A9" s="37" t="str">
        <f>Barley!B10</f>
        <v>Saudi Arabia</v>
      </c>
      <c r="B9" s="6" t="s">
        <v>45</v>
      </c>
      <c r="C9" s="32">
        <f>Barley!D10</f>
        <v>7.5123930000000003</v>
      </c>
      <c r="D9" s="32">
        <f>Barley!E10</f>
        <v>108.20795200000001</v>
      </c>
      <c r="E9" s="32">
        <f>Barley!F10</f>
        <v>30.861560999999998</v>
      </c>
      <c r="F9" s="32">
        <f>Barley!G10</f>
        <v>0</v>
      </c>
      <c r="G9" s="32">
        <f>Barley!H10</f>
        <v>0</v>
      </c>
      <c r="H9" s="23" t="str">
        <f t="shared" si="0"/>
        <v>N/A</v>
      </c>
      <c r="I9" s="36">
        <f t="shared" si="1"/>
        <v>29.316381200000002</v>
      </c>
      <c r="J9" s="23">
        <f t="shared" si="2"/>
        <v>-1</v>
      </c>
      <c r="K9" s="8" t="str">
        <f>Barley!L10</f>
        <v>S&amp;P Global (2025)</v>
      </c>
      <c r="L9" s="8" t="str">
        <f>Barley!M10</f>
        <v>S&amp;P Global (2025). Global Trade Atlas. https://connect.spglobal.com/gta/home/. Last accessed September 2025</v>
      </c>
    </row>
    <row r="10" spans="1:12" x14ac:dyDescent="0.3">
      <c r="A10" s="37" t="str">
        <f>Barley!B11</f>
        <v>Japan</v>
      </c>
      <c r="B10" s="6" t="s">
        <v>45</v>
      </c>
      <c r="C10" s="32">
        <f>Barley!D11</f>
        <v>4.846241</v>
      </c>
      <c r="D10" s="32">
        <f>Barley!E11</f>
        <v>29.011966999999999</v>
      </c>
      <c r="E10" s="32">
        <f>Barley!F11</f>
        <v>14.829221</v>
      </c>
      <c r="F10" s="32">
        <f>Barley!G11</f>
        <v>11.450438</v>
      </c>
      <c r="G10" s="32">
        <f>Barley!H11</f>
        <v>0</v>
      </c>
      <c r="H10" s="23">
        <f t="shared" si="0"/>
        <v>-1</v>
      </c>
      <c r="I10" s="36">
        <f t="shared" si="1"/>
        <v>12.027573399999998</v>
      </c>
      <c r="J10" s="23">
        <f t="shared" si="2"/>
        <v>-1</v>
      </c>
      <c r="K10" s="8" t="str">
        <f>Barley!L11</f>
        <v>S&amp;P Global (2025)</v>
      </c>
      <c r="L10" s="8" t="str">
        <f>Barley!M11</f>
        <v>S&amp;P Global (2025). Global Trade Atlas. https://connect.spglobal.com/gta/home/. Last accessed September 2025</v>
      </c>
    </row>
    <row r="11" spans="1:12" x14ac:dyDescent="0.3">
      <c r="A11" s="22" t="s">
        <v>11</v>
      </c>
      <c r="B11" s="6" t="s">
        <v>45</v>
      </c>
      <c r="C11" s="32">
        <f>Rice!D8</f>
        <v>4.711722</v>
      </c>
      <c r="D11" s="32">
        <f>Rice!E8</f>
        <v>39.822009000000001</v>
      </c>
      <c r="E11" s="32">
        <f>Rice!F8</f>
        <v>62.803389000000003</v>
      </c>
      <c r="F11" s="32">
        <f>Rice!G8</f>
        <v>64.270572000000001</v>
      </c>
      <c r="G11" s="32">
        <f>Rice!H8</f>
        <v>50.936841000000001</v>
      </c>
      <c r="H11" s="23">
        <f t="shared" si="0"/>
        <v>-0.2074624604243448</v>
      </c>
      <c r="I11" s="36">
        <f t="shared" si="1"/>
        <v>44.508906600000003</v>
      </c>
      <c r="J11" s="23">
        <f t="shared" si="2"/>
        <v>0.14441905881372508</v>
      </c>
      <c r="K11" s="8" t="str">
        <f>Rice!L8</f>
        <v>S&amp;P Global (2025)</v>
      </c>
      <c r="L11" s="8" t="str">
        <f>Rice!M8</f>
        <v>S&amp;P Global (2025). Global Trade Atlas. https://connect.spglobal.com/gta/home/. Last accessed September 2025</v>
      </c>
    </row>
    <row r="12" spans="1:12" x14ac:dyDescent="0.3">
      <c r="A12" s="37" t="str">
        <f>Rice!B9</f>
        <v>World</v>
      </c>
      <c r="B12" s="6" t="s">
        <v>45</v>
      </c>
      <c r="C12" s="32">
        <f>Rice!D9</f>
        <v>4.711722</v>
      </c>
      <c r="D12" s="32">
        <f>Rice!E9</f>
        <v>39.803350000000002</v>
      </c>
      <c r="E12" s="32">
        <f>Rice!F9</f>
        <v>62.713371000000002</v>
      </c>
      <c r="F12" s="32">
        <f>Rice!G9</f>
        <v>64.270572000000001</v>
      </c>
      <c r="G12" s="32">
        <f>Rice!H9</f>
        <v>50.936841000000001</v>
      </c>
      <c r="H12" s="23">
        <f t="shared" si="0"/>
        <v>-0.2074624604243448</v>
      </c>
      <c r="I12" s="36">
        <f t="shared" si="1"/>
        <v>44.487171199999999</v>
      </c>
      <c r="J12" s="23">
        <f t="shared" si="2"/>
        <v>0.14497819542187496</v>
      </c>
      <c r="K12" s="8" t="str">
        <f>Rice!L9</f>
        <v>S&amp;P Global (2025)</v>
      </c>
      <c r="L12" s="8" t="str">
        <f>Rice!M9</f>
        <v>S&amp;P Global (2025). Global Trade Atlas. https://connect.spglobal.com/gta/home/. Last accessed September 2025</v>
      </c>
    </row>
    <row r="13" spans="1:12" x14ac:dyDescent="0.3">
      <c r="A13" s="37" t="str">
        <f>Rice!B10</f>
        <v>Argentina</v>
      </c>
      <c r="B13" s="6" t="s">
        <v>45</v>
      </c>
      <c r="C13" s="32">
        <f>Rice!D10</f>
        <v>0</v>
      </c>
      <c r="D13" s="32">
        <f>Rice!E10</f>
        <v>5.3099999999999996E-3</v>
      </c>
      <c r="E13" s="32">
        <f>Rice!F10</f>
        <v>7.5450000000000003E-2</v>
      </c>
      <c r="F13" s="32">
        <f>Rice!G10</f>
        <v>0</v>
      </c>
      <c r="G13" s="32">
        <f>Rice!H10</f>
        <v>0</v>
      </c>
      <c r="H13" s="23" t="str">
        <f t="shared" si="0"/>
        <v>N/A</v>
      </c>
      <c r="I13" s="36">
        <f t="shared" si="1"/>
        <v>1.6152E-2</v>
      </c>
      <c r="J13" s="23">
        <f t="shared" si="2"/>
        <v>-1</v>
      </c>
      <c r="K13" s="8" t="str">
        <f>Rice!L10</f>
        <v>S&amp;P Global (2025)</v>
      </c>
      <c r="L13" s="8" t="str">
        <f>Rice!M10</f>
        <v>S&amp;P Global (2025). Global Trade Atlas. https://connect.spglobal.com/gta/home/. Last accessed September 2025</v>
      </c>
    </row>
    <row r="14" spans="1:12" x14ac:dyDescent="0.3">
      <c r="A14" s="22" t="s">
        <v>201</v>
      </c>
      <c r="B14" s="6" t="s">
        <v>45</v>
      </c>
      <c r="C14" s="32">
        <f>'Coarse Grains'!D9</f>
        <v>68.766856000000004</v>
      </c>
      <c r="D14" s="32">
        <f>'Coarse Grains'!E9</f>
        <v>230.96991</v>
      </c>
      <c r="E14" s="32">
        <f>'Coarse Grains'!F9</f>
        <v>408.98327999999998</v>
      </c>
      <c r="F14" s="32">
        <f>'Coarse Grains'!G9</f>
        <v>184.140308</v>
      </c>
      <c r="G14" s="32">
        <f>'Coarse Grains'!H9</f>
        <v>320.161993</v>
      </c>
      <c r="H14" s="23">
        <f t="shared" si="0"/>
        <v>0.73868500860767528</v>
      </c>
      <c r="I14" s="36">
        <f t="shared" si="1"/>
        <v>242.60446939999997</v>
      </c>
      <c r="J14" s="23">
        <f t="shared" si="2"/>
        <v>0.31968711784994031</v>
      </c>
      <c r="K14" s="8" t="str">
        <f>'Coarse Grains'!L9</f>
        <v>S&amp;P Global (2025)</v>
      </c>
      <c r="L14" s="8" t="str">
        <f>'Coarse Grains'!M9</f>
        <v>S&amp;P Global (2025). Global Trade Atlas. https://connect.spglobal.com/gta/home/. Last accessed September 2025</v>
      </c>
    </row>
    <row r="15" spans="1:12" x14ac:dyDescent="0.3">
      <c r="A15" s="37" t="str">
        <f>'Coarse Grains'!B10</f>
        <v>China</v>
      </c>
      <c r="B15" s="6" t="s">
        <v>45</v>
      </c>
      <c r="C15" s="32">
        <f>'Coarse Grains'!D10</f>
        <v>51.637512999999998</v>
      </c>
      <c r="D15" s="32">
        <f>'Coarse Grains'!E10</f>
        <v>225.38706199999999</v>
      </c>
      <c r="E15" s="32">
        <f>'Coarse Grains'!F10</f>
        <v>347.59965499999998</v>
      </c>
      <c r="F15" s="32">
        <f>'Coarse Grains'!G10</f>
        <v>181.88128599999999</v>
      </c>
      <c r="G15" s="32">
        <f>'Coarse Grains'!H10</f>
        <v>298.27427699999998</v>
      </c>
      <c r="H15" s="23">
        <f>IF(ISBLANK(G15),"N/A",IF(ISNA(G15/F15-1),"N/A",IF(ISERROR(G15/F15-1),"N/A",G15/F15-1)))</f>
        <v>0.63993934483177117</v>
      </c>
      <c r="I15" s="36">
        <f t="shared" si="1"/>
        <v>220.95595859999997</v>
      </c>
      <c r="J15" s="23">
        <f t="shared" si="2"/>
        <v>0.34992637849595432</v>
      </c>
      <c r="K15" s="8" t="str">
        <f>'Coarse Grains'!L10</f>
        <v>S&amp;P Global (2025)</v>
      </c>
      <c r="L15" s="8" t="str">
        <f>'Coarse Grains'!M10</f>
        <v>S&amp;P Global (2025). Global Trade Atlas. https://connect.spglobal.com/gta/home/. Last accessed September 2025</v>
      </c>
    </row>
    <row r="16" spans="1:12" x14ac:dyDescent="0.3">
      <c r="A16" s="37" t="str">
        <f>'Coarse Grains'!B11</f>
        <v>Japan</v>
      </c>
      <c r="B16" s="6" t="s">
        <v>45</v>
      </c>
      <c r="C16" s="32">
        <f>'Coarse Grains'!D11</f>
        <v>13.078875</v>
      </c>
      <c r="D16" s="32">
        <f>'Coarse Grains'!E11</f>
        <v>5.8000000000000003E-2</v>
      </c>
      <c r="E16" s="32">
        <f>'Coarse Grains'!F11</f>
        <v>57.389809</v>
      </c>
      <c r="F16" s="32">
        <f>'Coarse Grains'!G11</f>
        <v>0</v>
      </c>
      <c r="G16" s="32">
        <f>'Coarse Grains'!H11</f>
        <v>10.589565</v>
      </c>
      <c r="H16" s="23" t="str">
        <f t="shared" si="0"/>
        <v>N/A</v>
      </c>
      <c r="I16" s="36">
        <f t="shared" si="1"/>
        <v>16.223249800000001</v>
      </c>
      <c r="J16" s="23">
        <f t="shared" si="2"/>
        <v>-0.34725994294928508</v>
      </c>
      <c r="K16" s="8" t="str">
        <f>'Coarse Grains'!L11</f>
        <v>S&amp;P Global (2025)</v>
      </c>
      <c r="L16" s="8" t="str">
        <f>'Coarse Grains'!M11</f>
        <v>S&amp;P Global (2025). Global Trade Atlas. https://connect.spglobal.com/gta/home/. Last accessed September 2025</v>
      </c>
    </row>
    <row r="17" spans="1:12" x14ac:dyDescent="0.3">
      <c r="A17" s="37" t="str">
        <f>'Coarse Grains'!B12</f>
        <v>Kenya</v>
      </c>
      <c r="B17" s="6" t="s">
        <v>45</v>
      </c>
      <c r="C17" s="32">
        <f>'Coarse Grains'!D12</f>
        <v>0</v>
      </c>
      <c r="D17" s="32">
        <f>'Coarse Grains'!E12</f>
        <v>0</v>
      </c>
      <c r="E17" s="32">
        <f>'Coarse Grains'!F12</f>
        <v>0</v>
      </c>
      <c r="F17" s="32">
        <f>'Coarse Grains'!G12</f>
        <v>0</v>
      </c>
      <c r="G17" s="32">
        <f>'Coarse Grains'!H12</f>
        <v>7.1204190000000001</v>
      </c>
      <c r="H17" s="23" t="str">
        <f t="shared" si="0"/>
        <v>N/A</v>
      </c>
      <c r="I17" s="36">
        <f t="shared" si="1"/>
        <v>1.4240838</v>
      </c>
      <c r="J17" s="23">
        <f t="shared" si="2"/>
        <v>4</v>
      </c>
      <c r="K17" s="8" t="str">
        <f>'Coarse Grains'!L12</f>
        <v>S&amp;P Global (2025)</v>
      </c>
      <c r="L17" s="8" t="str">
        <f>'Coarse Grains'!M12</f>
        <v>S&amp;P Global (2025). Global Trade Atlas. https://connect.spglobal.com/gta/home/. Last accessed September 2025</v>
      </c>
    </row>
    <row r="18" spans="1:12" x14ac:dyDescent="0.3">
      <c r="A18" s="22" t="s">
        <v>13</v>
      </c>
      <c r="B18" s="6" t="s">
        <v>45</v>
      </c>
      <c r="C18" s="32">
        <f>Pulses!D9</f>
        <v>0.80853299999999995</v>
      </c>
      <c r="D18" s="32">
        <f>Pulses!E9</f>
        <v>0.79442699999999999</v>
      </c>
      <c r="E18" s="32">
        <f>Pulses!F9</f>
        <v>0.714584</v>
      </c>
      <c r="F18" s="32">
        <f>Pulses!G9</f>
        <v>13.232421</v>
      </c>
      <c r="G18" s="32">
        <f>Pulses!H9</f>
        <v>574.10932300000002</v>
      </c>
      <c r="H18" s="23">
        <f t="shared" si="0"/>
        <v>42.38656720489773</v>
      </c>
      <c r="I18" s="36">
        <f t="shared" si="1"/>
        <v>117.93185760000001</v>
      </c>
      <c r="J18" s="23">
        <f t="shared" si="2"/>
        <v>3.8681444919426076</v>
      </c>
      <c r="K18" s="8" t="str">
        <f>Pulses!L9</f>
        <v>S&amp;P Global (2025)</v>
      </c>
      <c r="L18" s="8" t="str">
        <f>Pulses!M9</f>
        <v>S&amp;P Global (2025). Global Trade Atlas. https://connect.spglobal.com/gta/home/. Last accessed September 2025</v>
      </c>
    </row>
    <row r="19" spans="1:12" x14ac:dyDescent="0.3">
      <c r="A19" s="37" t="str">
        <f>Pulses!B10</f>
        <v>Bangladesh</v>
      </c>
      <c r="B19" s="6" t="s">
        <v>45</v>
      </c>
      <c r="C19" s="32">
        <f>Pulses!D10</f>
        <v>41.505887999999999</v>
      </c>
      <c r="D19" s="32">
        <f>Pulses!E10</f>
        <v>60.564587000000003</v>
      </c>
      <c r="E19" s="32">
        <f>Pulses!F10</f>
        <v>17.843775999999998</v>
      </c>
      <c r="F19" s="32">
        <f>Pulses!G10</f>
        <v>20.329758999999999</v>
      </c>
      <c r="G19" s="32">
        <f>Pulses!H10</f>
        <v>70.230028000000004</v>
      </c>
      <c r="H19" s="23">
        <f t="shared" si="0"/>
        <v>2.4545430666443222</v>
      </c>
      <c r="I19" s="36">
        <f t="shared" si="1"/>
        <v>42.094807600000003</v>
      </c>
      <c r="J19" s="23">
        <f t="shared" si="2"/>
        <v>0.66837745565559969</v>
      </c>
      <c r="K19" s="8" t="str">
        <f>Pulses!L10</f>
        <v>S&amp;P Global (2025)</v>
      </c>
      <c r="L19" s="8" t="str">
        <f>Pulses!M10</f>
        <v>S&amp;P Global (2025). Global Trade Atlas. https://connect.spglobal.com/gta/home/. Last accessed September 2025</v>
      </c>
    </row>
    <row r="20" spans="1:12" x14ac:dyDescent="0.3">
      <c r="A20" s="37" t="str">
        <f>Pulses!B11</f>
        <v>Pakistan</v>
      </c>
      <c r="B20" s="6" t="s">
        <v>45</v>
      </c>
      <c r="C20" s="32">
        <f>Pulses!D11</f>
        <v>117.92167999999999</v>
      </c>
      <c r="D20" s="32">
        <f>Pulses!E11</f>
        <v>46.779173</v>
      </c>
      <c r="E20" s="32">
        <f>Pulses!F11</f>
        <v>76.582898999999998</v>
      </c>
      <c r="F20" s="32">
        <f>Pulses!G11</f>
        <v>48.004652999999998</v>
      </c>
      <c r="G20" s="32">
        <f>Pulses!H11</f>
        <v>55.659134999999999</v>
      </c>
      <c r="H20" s="23">
        <f t="shared" si="0"/>
        <v>0.15945291803275818</v>
      </c>
      <c r="I20" s="36">
        <f t="shared" si="1"/>
        <v>68.989508000000001</v>
      </c>
      <c r="J20" s="23">
        <f t="shared" si="2"/>
        <v>-0.19322319272084099</v>
      </c>
      <c r="K20" s="8" t="str">
        <f>Pulses!L11</f>
        <v>S&amp;P Global (2025)</v>
      </c>
      <c r="L20" s="8" t="str">
        <f>Pulses!M11</f>
        <v>S&amp;P Global (2025). Global Trade Atlas. https://connect.spglobal.com/gta/home/. Last accessed September 2025</v>
      </c>
    </row>
    <row r="21" spans="1:12" x14ac:dyDescent="0.3">
      <c r="A21" s="37" t="str">
        <f>Pulses!B12</f>
        <v xml:space="preserve">Total </v>
      </c>
      <c r="B21" s="6" t="s">
        <v>45</v>
      </c>
      <c r="C21" s="32">
        <f>Pulses!D12</f>
        <v>15.576629969999999</v>
      </c>
      <c r="D21" s="32">
        <f>Pulses!E12</f>
        <v>15.93127982</v>
      </c>
      <c r="E21" s="32">
        <f>Pulses!F12</f>
        <v>13.8134792</v>
      </c>
      <c r="F21" s="32">
        <f>Pulses!G12</f>
        <v>20.730481780000002</v>
      </c>
      <c r="G21" s="32">
        <f>Pulses!H12</f>
        <v>16.577572180000001</v>
      </c>
      <c r="H21" s="23">
        <f t="shared" si="0"/>
        <v>-0.20032865825658586</v>
      </c>
      <c r="I21" s="36">
        <f t="shared" si="1"/>
        <v>16.525888590000001</v>
      </c>
      <c r="J21" s="23">
        <f t="shared" si="2"/>
        <v>3.1274318302783044E-3</v>
      </c>
      <c r="K21" s="8" t="str">
        <f>Pulses!L12</f>
        <v>S&amp;P Global (2025)</v>
      </c>
      <c r="L21" s="8" t="str">
        <f>Pulses!M12</f>
        <v>S&amp;P Global (2025). Global Trade Atlas. https://connect.spglobal.com/gta/home/. Last accessed September 2025</v>
      </c>
    </row>
    <row r="22" spans="1:12" x14ac:dyDescent="0.3">
      <c r="A22" s="22" t="s">
        <v>14</v>
      </c>
      <c r="B22" s="6" t="s">
        <v>45</v>
      </c>
      <c r="C22" s="32">
        <f>Oilseeds!D9</f>
        <v>448.80657000000002</v>
      </c>
      <c r="D22" s="32">
        <f>Oilseeds!E9</f>
        <v>1007.001448</v>
      </c>
      <c r="E22" s="32">
        <f>Oilseeds!F9</f>
        <v>866.21343899999999</v>
      </c>
      <c r="F22" s="32">
        <f>Oilseeds!G9</f>
        <v>927.40707299999997</v>
      </c>
      <c r="G22" s="32">
        <f>Oilseeds!H9</f>
        <v>1021.656737</v>
      </c>
      <c r="H22" s="23">
        <f t="shared" si="0"/>
        <v>0.10162707051081554</v>
      </c>
      <c r="I22" s="36">
        <f t="shared" si="1"/>
        <v>854.21705339999994</v>
      </c>
      <c r="J22" s="23">
        <f t="shared" si="2"/>
        <v>0.19601538383429329</v>
      </c>
      <c r="K22" s="8" t="str">
        <f>Oilseeds!L9</f>
        <v>S&amp;P Global (2025)</v>
      </c>
      <c r="L22" s="8" t="str">
        <f>Oilseeds!M9</f>
        <v>S&amp;P Global (2025). Global Trade Atlas. https://connect.spglobal.com/gta/home/. Last accessed September 2025</v>
      </c>
    </row>
    <row r="23" spans="1:12" x14ac:dyDescent="0.3">
      <c r="A23" s="37" t="str">
        <f>Oilseeds!B10</f>
        <v>Belgium</v>
      </c>
      <c r="B23" s="6" t="s">
        <v>45</v>
      </c>
      <c r="C23" s="32">
        <f>Oilseeds!D10</f>
        <v>145.15274199999999</v>
      </c>
      <c r="D23" s="32">
        <f>Oilseeds!E10</f>
        <v>208.82745</v>
      </c>
      <c r="E23" s="32">
        <f>Oilseeds!F10</f>
        <v>310.64214099999998</v>
      </c>
      <c r="F23" s="32">
        <f>Oilseeds!G10</f>
        <v>208.852645</v>
      </c>
      <c r="G23" s="32">
        <f>Oilseeds!H10</f>
        <v>397.73939000000001</v>
      </c>
      <c r="H23" s="23">
        <f t="shared" si="0"/>
        <v>0.90440197681001377</v>
      </c>
      <c r="I23" s="36">
        <f t="shared" si="1"/>
        <v>254.2428736</v>
      </c>
      <c r="J23" s="23">
        <f t="shared" si="2"/>
        <v>0.5644072314324251</v>
      </c>
      <c r="K23" s="8" t="str">
        <f>Oilseeds!L10</f>
        <v>S&amp;P Global (2025)</v>
      </c>
      <c r="L23" s="8" t="str">
        <f>Oilseeds!M10</f>
        <v>S&amp;P Global (2025). Global Trade Atlas. https://connect.spglobal.com/gta/home/. Last accessed September 2025</v>
      </c>
    </row>
    <row r="24" spans="1:12" x14ac:dyDescent="0.3">
      <c r="A24" s="37" t="str">
        <f>Oilseeds!B11</f>
        <v>Germany</v>
      </c>
      <c r="B24" s="6" t="s">
        <v>45</v>
      </c>
      <c r="C24" s="32">
        <f>Oilseeds!D11</f>
        <v>124.311142</v>
      </c>
      <c r="D24" s="32">
        <f>Oilseeds!E11</f>
        <v>454.89263799999998</v>
      </c>
      <c r="E24" s="32">
        <f>Oilseeds!F11</f>
        <v>105.30793</v>
      </c>
      <c r="F24" s="32">
        <f>Oilseeds!G11</f>
        <v>132.65999099999999</v>
      </c>
      <c r="G24" s="32">
        <f>Oilseeds!H11</f>
        <v>203.25731200000001</v>
      </c>
      <c r="H24" s="23">
        <f t="shared" si="0"/>
        <v>0.53216738873440761</v>
      </c>
      <c r="I24" s="36">
        <f t="shared" si="1"/>
        <v>204.08580259999999</v>
      </c>
      <c r="J24" s="23">
        <f t="shared" si="2"/>
        <v>-4.0595209928628861E-3</v>
      </c>
      <c r="K24" s="8" t="str">
        <f>Oilseeds!L11</f>
        <v>S&amp;P Global (2025)</v>
      </c>
      <c r="L24" s="8" t="str">
        <f>Oilseeds!M11</f>
        <v>S&amp;P Global (2025). Global Trade Atlas. https://connect.spglobal.com/gta/home/. Last accessed September 2025</v>
      </c>
    </row>
    <row r="25" spans="1:12" x14ac:dyDescent="0.3">
      <c r="A25" s="37" t="str">
        <f>Oilseeds!B12</f>
        <v>China</v>
      </c>
      <c r="B25" s="6" t="s">
        <v>45</v>
      </c>
      <c r="C25" s="32">
        <f>Oilseeds!D12</f>
        <v>1.459657</v>
      </c>
      <c r="D25" s="32">
        <f>Oilseeds!E12</f>
        <v>23.053308999999999</v>
      </c>
      <c r="E25" s="32">
        <f>Oilseeds!F12</f>
        <v>100.391603</v>
      </c>
      <c r="F25" s="32">
        <f>Oilseeds!G12</f>
        <v>153.87140600000001</v>
      </c>
      <c r="G25" s="32">
        <f>Oilseeds!H12</f>
        <v>174.31992199999999</v>
      </c>
      <c r="H25" s="23">
        <f t="shared" si="0"/>
        <v>0.13289354098707573</v>
      </c>
      <c r="I25" s="36">
        <f t="shared" si="1"/>
        <v>90.619179400000007</v>
      </c>
      <c r="J25" s="23">
        <f t="shared" si="2"/>
        <v>0.92365372489788822</v>
      </c>
      <c r="K25" s="8" t="str">
        <f>Oilseeds!L12</f>
        <v>S&amp;P Global (2025)</v>
      </c>
      <c r="L25" s="8" t="str">
        <f>Oilseeds!M12</f>
        <v>S&amp;P Global (2025). Global Trade Atlas. https://connect.spglobal.com/gta/home/. Last accessed September 2025</v>
      </c>
    </row>
    <row r="26" spans="1:12" x14ac:dyDescent="0.3">
      <c r="A26" s="22" t="s">
        <v>286</v>
      </c>
      <c r="B26" s="6" t="s">
        <v>45</v>
      </c>
      <c r="C26" s="32">
        <f>'Cotton Lint'!D8</f>
        <v>399.03586648096575</v>
      </c>
      <c r="D26" s="32">
        <f>'Cotton Lint'!E8</f>
        <v>1458.1097066482121</v>
      </c>
      <c r="E26" s="32">
        <f>'Cotton Lint'!F8</f>
        <v>2874.7860588486601</v>
      </c>
      <c r="F26" s="32">
        <f>'Cotton Lint'!G8</f>
        <v>2978.4672694642454</v>
      </c>
      <c r="G26" s="32">
        <f>'Cotton Lint'!H8</f>
        <v>2187.2768436911133</v>
      </c>
      <c r="H26" s="23">
        <f t="shared" si="0"/>
        <v>-0.26563677025581289</v>
      </c>
      <c r="I26" s="36">
        <f t="shared" si="1"/>
        <v>1979.5351490266396</v>
      </c>
      <c r="J26" s="23">
        <f t="shared" si="2"/>
        <v>0.1049446860120784</v>
      </c>
      <c r="K26" s="38" t="str">
        <f>'Cotton Lint'!L8</f>
        <v>S&amp;P Global (2025)</v>
      </c>
      <c r="L26" s="38" t="str">
        <f>'Cotton Lint'!M8</f>
        <v>S&amp;P Global (2025). Global Trade Atlas. https://connect.spglobal.com/gta/home/. Last accessed September 2025</v>
      </c>
    </row>
    <row r="27" spans="1:12" x14ac:dyDescent="0.3">
      <c r="A27" s="37" t="str">
        <f>+'Cotton Lint'!B9</f>
        <v>China</v>
      </c>
      <c r="B27" s="6" t="s">
        <v>45</v>
      </c>
      <c r="C27" s="32">
        <f>'Cotton Lint'!D9</f>
        <v>128.09106400926612</v>
      </c>
      <c r="D27" s="32">
        <f>'Cotton Lint'!E9</f>
        <v>42.377546425131783</v>
      </c>
      <c r="E27" s="32">
        <f>'Cotton Lint'!F9</f>
        <v>112.73024603725807</v>
      </c>
      <c r="F27" s="32">
        <f>'Cotton Lint'!G9</f>
        <v>801.19156487192208</v>
      </c>
      <c r="G27" s="32">
        <f>'Cotton Lint'!H9</f>
        <v>625.86788455161206</v>
      </c>
      <c r="H27" s="23">
        <f t="shared" si="0"/>
        <v>-0.21882866471308537</v>
      </c>
      <c r="I27" s="36">
        <f t="shared" si="1"/>
        <v>342.05166117903798</v>
      </c>
      <c r="J27" s="23">
        <f t="shared" si="2"/>
        <v>0.82974665988836671</v>
      </c>
      <c r="K27" s="38" t="str">
        <f>'Cotton Lint'!L9</f>
        <v>S&amp;P Global (2025)</v>
      </c>
      <c r="L27" s="38" t="str">
        <f>'Cotton Lint'!M9</f>
        <v>S&amp;P Global (2025). Global Trade Atlas. https://connect.spglobal.com/gta/home/. Last accessed September 2025</v>
      </c>
    </row>
    <row r="28" spans="1:12" x14ac:dyDescent="0.3">
      <c r="A28" s="37" t="str">
        <f>+'Cotton Lint'!B10</f>
        <v>Vietnam</v>
      </c>
      <c r="B28" s="6" t="s">
        <v>45</v>
      </c>
      <c r="C28" s="32">
        <f>'Cotton Lint'!D10</f>
        <v>112.58725512748728</v>
      </c>
      <c r="D28" s="32">
        <f>'Cotton Lint'!E10</f>
        <v>559.90501256563266</v>
      </c>
      <c r="E28" s="32">
        <f>'Cotton Lint'!F10</f>
        <v>1153.2767405969396</v>
      </c>
      <c r="F28" s="32">
        <f>'Cotton Lint'!G10</f>
        <v>983.37439696002934</v>
      </c>
      <c r="G28" s="32">
        <f>'Cotton Lint'!H10</f>
        <v>514.42515025637567</v>
      </c>
      <c r="H28" s="23">
        <f t="shared" si="0"/>
        <v>-0.47687762479209106</v>
      </c>
      <c r="I28" s="36">
        <f t="shared" si="1"/>
        <v>664.71371110129292</v>
      </c>
      <c r="J28" s="23">
        <f t="shared" si="2"/>
        <v>-0.22609517200408014</v>
      </c>
      <c r="K28" s="38" t="str">
        <f>'Cotton Lint'!L10</f>
        <v>S&amp;P Global (2025)</v>
      </c>
      <c r="L28" s="38" t="str">
        <f>'Cotton Lint'!M10</f>
        <v>S&amp;P Global (2025). Global Trade Atlas. https://connect.spglobal.com/gta/home/. Last accessed September 2025</v>
      </c>
    </row>
    <row r="29" spans="1:12" x14ac:dyDescent="0.3">
      <c r="A29" s="37" t="str">
        <f>+'Cotton Lint'!B11</f>
        <v>India</v>
      </c>
      <c r="B29" s="6" t="s">
        <v>45</v>
      </c>
      <c r="C29" s="32">
        <f>'Cotton Lint'!D11</f>
        <v>19.094314272716797</v>
      </c>
      <c r="D29" s="32">
        <f>'Cotton Lint'!E11</f>
        <v>90.188970070705452</v>
      </c>
      <c r="E29" s="32">
        <f>'Cotton Lint'!F11</f>
        <v>242.82338198552472</v>
      </c>
      <c r="F29" s="32">
        <f>'Cotton Lint'!G11</f>
        <v>122.5813197747854</v>
      </c>
      <c r="G29" s="32">
        <f>'Cotton Lint'!H11</f>
        <v>275.21142029573599</v>
      </c>
      <c r="H29" s="23">
        <f t="shared" si="0"/>
        <v>1.2451334412239388</v>
      </c>
      <c r="I29" s="36">
        <f t="shared" si="1"/>
        <v>149.97988127989368</v>
      </c>
      <c r="J29" s="23">
        <f t="shared" si="2"/>
        <v>0.83498891949470333</v>
      </c>
      <c r="K29" s="38" t="str">
        <f>'Cotton Lint'!L11</f>
        <v>S&amp;P Global (2025)</v>
      </c>
      <c r="L29" s="38" t="str">
        <f>'Cotton Lint'!M11</f>
        <v>S&amp;P Global (2025). Global Trade Atlas. https://connect.spglobal.com/gta/home/. Last accessed September 2025</v>
      </c>
    </row>
    <row r="30" spans="1:12" x14ac:dyDescent="0.3">
      <c r="A30" s="22" t="s">
        <v>202</v>
      </c>
      <c r="B30" s="6" t="s">
        <v>45</v>
      </c>
      <c r="C30" s="32">
        <f>Sugarcane!D9</f>
        <v>1.7270749999999999</v>
      </c>
      <c r="D30" s="32">
        <f>Sugarcane!E9</f>
        <v>2.3368959999999999</v>
      </c>
      <c r="E30" s="32">
        <f>Sugarcane!F9</f>
        <v>3.1451370000000001</v>
      </c>
      <c r="F30" s="32">
        <f>Sugarcane!G9</f>
        <v>4.6424919999999998</v>
      </c>
      <c r="G30" s="32">
        <f>Sugarcane!H9</f>
        <v>4.1621249999999996</v>
      </c>
      <c r="H30" s="23">
        <f t="shared" si="0"/>
        <v>-0.10347179919750005</v>
      </c>
      <c r="I30" s="36">
        <f t="shared" si="1"/>
        <v>3.2027450000000002</v>
      </c>
      <c r="J30" s="23">
        <f t="shared" si="2"/>
        <v>0.29954929287220788</v>
      </c>
      <c r="K30" s="8" t="str">
        <f>Sugarcane!L9</f>
        <v>S&amp;P Global (2025)</v>
      </c>
      <c r="L30" s="8" t="str">
        <f>Sugarcane!M9</f>
        <v>S&amp;P Global (2025). Global Trade Atlas. https://connect.spglobal.com/gta/home/. Last accessed September 2025</v>
      </c>
    </row>
    <row r="31" spans="1:12" x14ac:dyDescent="0.3">
      <c r="A31" s="37" t="str">
        <f>Sugarcane!B10</f>
        <v>New Zealand</v>
      </c>
      <c r="B31" s="6" t="s">
        <v>45</v>
      </c>
      <c r="C31" s="32">
        <f>Sugarcane!D10</f>
        <v>1.4304140000000001</v>
      </c>
      <c r="D31" s="32">
        <f>Sugarcane!E10</f>
        <v>1.6573450000000001</v>
      </c>
      <c r="E31" s="32">
        <f>Sugarcane!F10</f>
        <v>2.1977730000000002</v>
      </c>
      <c r="F31" s="32">
        <f>Sugarcane!G10</f>
        <v>2.4304199999999998</v>
      </c>
      <c r="G31" s="32">
        <f>Sugarcane!H10</f>
        <v>2.4227850000000002</v>
      </c>
      <c r="H31" s="23">
        <f t="shared" si="0"/>
        <v>-3.1414323450266179E-3</v>
      </c>
      <c r="I31" s="36">
        <f t="shared" si="1"/>
        <v>2.0277474</v>
      </c>
      <c r="J31" s="23">
        <f t="shared" si="2"/>
        <v>0.19481598151722457</v>
      </c>
      <c r="K31" s="8" t="str">
        <f>Sugarcane!L10</f>
        <v>S&amp;P Global (2025)</v>
      </c>
      <c r="L31" s="8" t="str">
        <f>Sugarcane!M10</f>
        <v>S&amp;P Global (2025). Global Trade Atlas. https://connect.spglobal.com/gta/home/. Last accessed September 2025</v>
      </c>
    </row>
    <row r="32" spans="1:12" x14ac:dyDescent="0.3">
      <c r="A32" s="37" t="str">
        <f>Sugarcane!B11</f>
        <v>Singapore</v>
      </c>
      <c r="B32" s="6" t="s">
        <v>45</v>
      </c>
      <c r="C32" s="32">
        <f>Sugarcane!D11</f>
        <v>6.6480000000000003E-3</v>
      </c>
      <c r="D32" s="32">
        <f>Sugarcane!E11</f>
        <v>1.1076000000000001E-2</v>
      </c>
      <c r="E32" s="32">
        <f>Sugarcane!F11</f>
        <v>0.218699</v>
      </c>
      <c r="F32" s="32">
        <f>Sugarcane!G11</f>
        <v>0.474221</v>
      </c>
      <c r="G32" s="32">
        <f>Sugarcane!H11</f>
        <v>0.46701500000000001</v>
      </c>
      <c r="H32" s="23">
        <f t="shared" si="0"/>
        <v>-1.5195446848621175E-2</v>
      </c>
      <c r="I32" s="36">
        <f t="shared" si="1"/>
        <v>0.23553180000000001</v>
      </c>
      <c r="J32" s="23">
        <f t="shared" si="2"/>
        <v>0.98281081365658474</v>
      </c>
      <c r="K32" s="8" t="str">
        <f>Sugarcane!L11</f>
        <v>S&amp;P Global (2025)</v>
      </c>
      <c r="L32" s="8" t="str">
        <f>Sugarcane!M11</f>
        <v>S&amp;P Global (2025). Global Trade Atlas. https://connect.spglobal.com/gta/home/. Last accessed September 2025</v>
      </c>
    </row>
    <row r="33" spans="1:12" x14ac:dyDescent="0.3">
      <c r="A33" s="37" t="str">
        <f>Sugarcane!B12</f>
        <v>Philippines</v>
      </c>
      <c r="B33" s="6" t="s">
        <v>45</v>
      </c>
      <c r="C33" s="32">
        <f>Sugarcane!D12</f>
        <v>6.2000000000000003E-5</v>
      </c>
      <c r="D33" s="32">
        <f>Sugarcane!E12</f>
        <v>0.14499999999999999</v>
      </c>
      <c r="E33" s="32">
        <f>Sugarcane!F12</f>
        <v>4.0651E-2</v>
      </c>
      <c r="F33" s="32">
        <f>Sugarcane!G12</f>
        <v>0.61473</v>
      </c>
      <c r="G33" s="32">
        <f>Sugarcane!H12</f>
        <v>0.40768399999999999</v>
      </c>
      <c r="H33" s="23">
        <f t="shared" si="0"/>
        <v>-0.33680802954142475</v>
      </c>
      <c r="I33" s="36">
        <f t="shared" si="1"/>
        <v>0.24162539999999999</v>
      </c>
      <c r="J33" s="23">
        <f t="shared" si="2"/>
        <v>0.68725638943587897</v>
      </c>
      <c r="K33" s="8" t="str">
        <f>Sugarcane!L12</f>
        <v>S&amp;P Global (2025)</v>
      </c>
      <c r="L33" s="8" t="str">
        <f>Sugarcane!M12</f>
        <v>S&amp;P Global (2025). Global Trade Atlas. https://connect.spglobal.com/gta/home/. Last accessed September 2025</v>
      </c>
    </row>
    <row r="34" spans="1:12" x14ac:dyDescent="0.3">
      <c r="A34" s="9" t="s">
        <v>287</v>
      </c>
      <c r="B34" s="9" t="s">
        <v>45</v>
      </c>
      <c r="C34" s="33">
        <f>SUM(C35)</f>
        <v>288.29758299999997</v>
      </c>
      <c r="D34" s="33">
        <f t="shared" ref="D34:G34" si="3">SUM(D35)</f>
        <v>297.43630100000001</v>
      </c>
      <c r="E34" s="33">
        <f t="shared" si="3"/>
        <v>287.85416900000001</v>
      </c>
      <c r="F34" s="33">
        <f t="shared" si="3"/>
        <v>340.370542</v>
      </c>
      <c r="G34" s="33">
        <f t="shared" si="3"/>
        <v>431.71478400000001</v>
      </c>
      <c r="H34" s="21">
        <f t="shared" si="0"/>
        <v>0.26836706097791518</v>
      </c>
      <c r="I34" s="31">
        <f t="shared" si="1"/>
        <v>329.13467580000002</v>
      </c>
      <c r="J34" s="21">
        <f t="shared" si="2"/>
        <v>0.31166606177446088</v>
      </c>
      <c r="K34" s="25"/>
      <c r="L34" s="25"/>
    </row>
    <row r="35" spans="1:12" x14ac:dyDescent="0.3">
      <c r="A35" s="22" t="s">
        <v>17</v>
      </c>
      <c r="B35" s="6" t="s">
        <v>45</v>
      </c>
      <c r="C35" s="32">
        <f>Horticulture!D14</f>
        <v>288.29758299999997</v>
      </c>
      <c r="D35" s="32">
        <f>Horticulture!E14</f>
        <v>297.43630100000001</v>
      </c>
      <c r="E35" s="32">
        <f>Horticulture!F14</f>
        <v>287.85416900000001</v>
      </c>
      <c r="F35" s="32">
        <f>Horticulture!G14</f>
        <v>340.370542</v>
      </c>
      <c r="G35" s="32">
        <f>Horticulture!H14</f>
        <v>431.71478400000001</v>
      </c>
      <c r="H35" s="23">
        <f t="shared" si="0"/>
        <v>0.26836706097791518</v>
      </c>
      <c r="I35" s="36">
        <f t="shared" si="1"/>
        <v>329.13467580000002</v>
      </c>
      <c r="J35" s="23">
        <f t="shared" si="2"/>
        <v>0.31166606177446088</v>
      </c>
      <c r="K35" s="8" t="str">
        <f>Horticulture!L14</f>
        <v>S&amp;P Global (2025)</v>
      </c>
      <c r="L35" s="8" t="str">
        <f>Horticulture!M14</f>
        <v>S&amp;P Global (2025). Global Trade Atlas. https://connect.spglobal.com/gta/home/. Last accessed September 2025</v>
      </c>
    </row>
    <row r="36" spans="1:12" x14ac:dyDescent="0.3">
      <c r="A36" s="37" t="str">
        <f>Horticulture!B15</f>
        <v>China</v>
      </c>
      <c r="B36" s="6" t="s">
        <v>45</v>
      </c>
      <c r="C36" s="32">
        <f>Horticulture!D15</f>
        <v>58.749277999999997</v>
      </c>
      <c r="D36" s="32">
        <f>Horticulture!E15</f>
        <v>54.332087999999999</v>
      </c>
      <c r="E36" s="32">
        <f>Horticulture!F15</f>
        <v>64.160506999999996</v>
      </c>
      <c r="F36" s="32">
        <f>Horticulture!G15</f>
        <v>61.719365000000003</v>
      </c>
      <c r="G36" s="32">
        <f>Horticulture!H15</f>
        <v>86.065521000000004</v>
      </c>
      <c r="H36" s="23">
        <f t="shared" si="0"/>
        <v>0.39446543236470433</v>
      </c>
      <c r="I36" s="36">
        <f t="shared" si="1"/>
        <v>65.0053518</v>
      </c>
      <c r="J36" s="23">
        <f t="shared" si="2"/>
        <v>0.32397592839425271</v>
      </c>
      <c r="K36" s="8" t="str">
        <f>Horticulture!L15</f>
        <v>S&amp;P Global (2025)</v>
      </c>
      <c r="L36" s="8" t="str">
        <f>Horticulture!M15</f>
        <v>S&amp;P Global (2025). Global Trade Atlas. https://connect.spglobal.com/gta/home/. Last accessed September 2025</v>
      </c>
    </row>
    <row r="37" spans="1:12" x14ac:dyDescent="0.3">
      <c r="A37" s="37" t="str">
        <f>Horticulture!B16</f>
        <v>Japan</v>
      </c>
      <c r="B37" s="6" t="s">
        <v>45</v>
      </c>
      <c r="C37" s="32">
        <f>Horticulture!D16</f>
        <v>35.594763999999998</v>
      </c>
      <c r="D37" s="32">
        <f>Horticulture!E16</f>
        <v>30.898945000000001</v>
      </c>
      <c r="E37" s="32">
        <f>Horticulture!F16</f>
        <v>26.387848000000002</v>
      </c>
      <c r="F37" s="32">
        <f>Horticulture!G16</f>
        <v>34.528278999999998</v>
      </c>
      <c r="G37" s="32">
        <f>Horticulture!H16</f>
        <v>43.736026000000003</v>
      </c>
      <c r="H37" s="23">
        <f t="shared" si="0"/>
        <v>0.26667263086005555</v>
      </c>
      <c r="I37" s="36">
        <f t="shared" si="1"/>
        <v>34.229172399999996</v>
      </c>
      <c r="J37" s="23">
        <f t="shared" si="2"/>
        <v>0.27774126376482333</v>
      </c>
      <c r="K37" s="8" t="str">
        <f>Horticulture!L16</f>
        <v>S&amp;P Global (2025)</v>
      </c>
      <c r="L37" s="8" t="str">
        <f>Horticulture!M16</f>
        <v>S&amp;P Global (2025). Global Trade Atlas. https://connect.spglobal.com/gta/home/. Last accessed September 2025</v>
      </c>
    </row>
    <row r="38" spans="1:12" x14ac:dyDescent="0.3">
      <c r="A38" s="37" t="str">
        <f>Horticulture!B17</f>
        <v>Hong Kong</v>
      </c>
      <c r="B38" s="6" t="s">
        <v>45</v>
      </c>
      <c r="C38" s="32">
        <f>Horticulture!D17</f>
        <v>23.309222999999999</v>
      </c>
      <c r="D38" s="32">
        <f>Horticulture!E17</f>
        <v>26.986765999999999</v>
      </c>
      <c r="E38" s="32">
        <f>Horticulture!F17</f>
        <v>23.092497999999999</v>
      </c>
      <c r="F38" s="32">
        <f>Horticulture!G17</f>
        <v>32.077289999999998</v>
      </c>
      <c r="G38" s="32">
        <f>Horticulture!H17</f>
        <v>28.818325999999999</v>
      </c>
      <c r="H38" s="23">
        <f t="shared" si="0"/>
        <v>-0.10159723592610226</v>
      </c>
      <c r="I38" s="36">
        <f t="shared" si="1"/>
        <v>26.856820600000002</v>
      </c>
      <c r="J38" s="23">
        <f t="shared" si="2"/>
        <v>7.3035651882039865E-2</v>
      </c>
      <c r="K38" s="8" t="str">
        <f>Horticulture!L17</f>
        <v>S&amp;P Global (2025)</v>
      </c>
      <c r="L38" s="8" t="str">
        <f>Horticulture!M17</f>
        <v>S&amp;P Global (2025). Global Trade Atlas. https://connect.spglobal.com/gta/home/. Last accessed September 2025</v>
      </c>
    </row>
    <row r="39" spans="1:12" x14ac:dyDescent="0.3">
      <c r="A39" s="22" t="s">
        <v>288</v>
      </c>
      <c r="B39" s="6" t="s">
        <v>45</v>
      </c>
      <c r="C39" s="32">
        <f>Wine!D8</f>
        <v>519.95409800000004</v>
      </c>
      <c r="D39" s="32">
        <f>Wine!E8</f>
        <v>469.90477900000002</v>
      </c>
      <c r="E39" s="32">
        <f>Wine!F8</f>
        <v>414.72675299999997</v>
      </c>
      <c r="F39" s="32">
        <f>Wine!G8</f>
        <v>441.24740000000003</v>
      </c>
      <c r="G39" s="32">
        <f>Wine!H8</f>
        <v>475.73866299999997</v>
      </c>
      <c r="H39" s="23">
        <f t="shared" si="0"/>
        <v>7.816762886308215E-2</v>
      </c>
      <c r="I39" s="36">
        <f t="shared" si="1"/>
        <v>464.31433859999999</v>
      </c>
      <c r="J39" s="23">
        <f t="shared" si="2"/>
        <v>2.4604720229934207E-2</v>
      </c>
      <c r="K39" s="8" t="str">
        <f>Wine!L8</f>
        <v>S&amp;P Global (2025)</v>
      </c>
      <c r="L39" s="8" t="str">
        <f>Wine!M8</f>
        <v>S&amp;P Global (2025). Global Trade Atlas. https://connect.spglobal.com/gta/home/. Last accessed September 2025</v>
      </c>
    </row>
    <row r="40" spans="1:12" x14ac:dyDescent="0.3">
      <c r="A40" s="37" t="str">
        <f>Wine!B9</f>
        <v>United States</v>
      </c>
      <c r="B40" s="6" t="s">
        <v>45</v>
      </c>
      <c r="C40" s="32">
        <f>Wine!D9</f>
        <v>227.615216</v>
      </c>
      <c r="D40" s="32">
        <f>Wine!E9</f>
        <v>226.474469</v>
      </c>
      <c r="E40" s="32">
        <f>Wine!F9</f>
        <v>181.815811</v>
      </c>
      <c r="F40" s="32">
        <f>Wine!G9</f>
        <v>208.04686000000001</v>
      </c>
      <c r="G40" s="32">
        <f>Wine!H9</f>
        <v>179.85796199999999</v>
      </c>
      <c r="H40" s="23">
        <f t="shared" si="0"/>
        <v>-0.13549302306220834</v>
      </c>
      <c r="I40" s="36">
        <f t="shared" si="1"/>
        <v>204.7620636</v>
      </c>
      <c r="J40" s="23">
        <f t="shared" si="2"/>
        <v>-0.12162458788581976</v>
      </c>
      <c r="K40" s="8" t="str">
        <f>Wine!L9</f>
        <v>S&amp;P Global (2025)</v>
      </c>
      <c r="L40" s="8" t="str">
        <f>Wine!M9</f>
        <v>S&amp;P Global (2025). Global Trade Atlas. https://connect.spglobal.com/gta/home/. Last accessed September 2025</v>
      </c>
    </row>
    <row r="41" spans="1:12" x14ac:dyDescent="0.3">
      <c r="A41" s="37" t="str">
        <f>Wine!B10</f>
        <v>United Kingdom</v>
      </c>
      <c r="B41" s="6" t="s">
        <v>45</v>
      </c>
      <c r="C41" s="32">
        <f>Wine!D10</f>
        <v>114.824506</v>
      </c>
      <c r="D41" s="32">
        <f>Wine!E10</f>
        <v>93.696257000000003</v>
      </c>
      <c r="E41" s="32">
        <f>Wine!F10</f>
        <v>94.209445000000002</v>
      </c>
      <c r="F41" s="32">
        <f>Wine!G10</f>
        <v>86.076205000000002</v>
      </c>
      <c r="G41" s="32">
        <f>Wine!H10</f>
        <v>107.627426</v>
      </c>
      <c r="H41" s="23">
        <f t="shared" si="0"/>
        <v>0.25037373569153054</v>
      </c>
      <c r="I41" s="36">
        <f t="shared" si="1"/>
        <v>99.286767800000007</v>
      </c>
      <c r="J41" s="23">
        <f t="shared" si="2"/>
        <v>8.4005737973071426E-2</v>
      </c>
      <c r="K41" s="8" t="str">
        <f>Wine!L10</f>
        <v>S&amp;P Global (2025)</v>
      </c>
      <c r="L41" s="8" t="str">
        <f>Wine!M10</f>
        <v>S&amp;P Global (2025). Global Trade Atlas. https://connect.spglobal.com/gta/home/. Last accessed September 2025</v>
      </c>
    </row>
    <row r="42" spans="1:12" x14ac:dyDescent="0.3">
      <c r="A42" s="37" t="str">
        <f>Wine!B11</f>
        <v>Canada</v>
      </c>
      <c r="B42" s="6" t="s">
        <v>45</v>
      </c>
      <c r="C42" s="32">
        <f>Wine!D11</f>
        <v>42.190545999999998</v>
      </c>
      <c r="D42" s="32">
        <f>Wine!E11</f>
        <v>33.926205000000003</v>
      </c>
      <c r="E42" s="32">
        <f>Wine!F11</f>
        <v>32.828811000000002</v>
      </c>
      <c r="F42" s="32">
        <f>Wine!G11</f>
        <v>31.17887</v>
      </c>
      <c r="G42" s="32">
        <f>Wine!H11</f>
        <v>36.77469</v>
      </c>
      <c r="H42" s="23">
        <f t="shared" si="0"/>
        <v>0.17947475325436746</v>
      </c>
      <c r="I42" s="36">
        <f t="shared" si="1"/>
        <v>35.379824399999997</v>
      </c>
      <c r="J42" s="23">
        <f t="shared" si="2"/>
        <v>3.9425452886080459E-2</v>
      </c>
      <c r="K42" s="8" t="str">
        <f>Wine!L11</f>
        <v>S&amp;P Global (2025)</v>
      </c>
      <c r="L42" s="8" t="str">
        <f>Wine!M11</f>
        <v>S&amp;P Global (2025). Global Trade Atlas. https://connect.spglobal.com/gta/home/. Last accessed September 2025</v>
      </c>
    </row>
    <row r="43" spans="1:12" x14ac:dyDescent="0.3">
      <c r="A43" s="15" t="s">
        <v>208</v>
      </c>
      <c r="B43" s="9" t="s">
        <v>45</v>
      </c>
      <c r="C43" s="33">
        <f>SUM(C44,C48,C52,C56,C60,C64,C68,C72)</f>
        <v>3144.9834000000005</v>
      </c>
      <c r="D43" s="33">
        <f t="shared" ref="D43:G43" si="4">SUM(D44,D48,D52,D56,D60,D64,D68,D72)</f>
        <v>4045.8695700000003</v>
      </c>
      <c r="E43" s="33">
        <f t="shared" si="4"/>
        <v>4044.9843949999999</v>
      </c>
      <c r="F43" s="33">
        <f t="shared" si="4"/>
        <v>4253.1554069999993</v>
      </c>
      <c r="G43" s="33">
        <f t="shared" si="4"/>
        <v>4818.4702119999993</v>
      </c>
      <c r="H43" s="21">
        <f t="shared" si="0"/>
        <v>0.13291656450398781</v>
      </c>
      <c r="I43" s="31">
        <f t="shared" si="1"/>
        <v>4061.4925968000002</v>
      </c>
      <c r="J43" s="21">
        <f t="shared" si="2"/>
        <v>0.18637916902677909</v>
      </c>
      <c r="K43" s="25"/>
      <c r="L43" s="25"/>
    </row>
    <row r="44" spans="1:12" x14ac:dyDescent="0.3">
      <c r="A44" s="22" t="s">
        <v>209</v>
      </c>
      <c r="B44" s="6" t="s">
        <v>45</v>
      </c>
      <c r="C44" s="32">
        <f>Beef!D14</f>
        <v>1551.6980349999999</v>
      </c>
      <c r="D44" s="32">
        <f>Beef!E14</f>
        <v>1928.938463</v>
      </c>
      <c r="E44" s="32">
        <f>Beef!F14</f>
        <v>1889.8935120000001</v>
      </c>
      <c r="F44" s="32">
        <f>Beef!G14</f>
        <v>2245.9082779999999</v>
      </c>
      <c r="G44" s="32">
        <f>Beef!H14</f>
        <v>2771.73513</v>
      </c>
      <c r="H44" s="23">
        <f t="shared" si="0"/>
        <v>0.23412659241287148</v>
      </c>
      <c r="I44" s="36">
        <f t="shared" si="1"/>
        <v>2077.6346836000002</v>
      </c>
      <c r="J44" s="23">
        <f t="shared" si="2"/>
        <v>0.33408204622253623</v>
      </c>
      <c r="K44" s="8" t="str">
        <f>Beef!L14</f>
        <v>S&amp;P Global (2025)</v>
      </c>
      <c r="L44" s="8" t="str">
        <f>Beef!M14</f>
        <v>S&amp;P Global (2025). Global Trade Atlas. https://connect.spglobal.com/gta/home/. Last accessed September 2025</v>
      </c>
    </row>
    <row r="45" spans="1:12" x14ac:dyDescent="0.3">
      <c r="A45" s="37" t="str">
        <f>Beef!B15</f>
        <v>China</v>
      </c>
      <c r="B45" s="6" t="s">
        <v>45</v>
      </c>
      <c r="C45" s="32">
        <f>Beef!D15</f>
        <v>497.83591200000001</v>
      </c>
      <c r="D45" s="32">
        <f>Beef!E15</f>
        <v>788.11124400000006</v>
      </c>
      <c r="E45" s="32">
        <f>Beef!F15</f>
        <v>808.09175600000003</v>
      </c>
      <c r="F45" s="32">
        <f>Beef!G15</f>
        <v>861.91816900000003</v>
      </c>
      <c r="G45" s="32">
        <f>Beef!H15</f>
        <v>1008.146016</v>
      </c>
      <c r="H45" s="23">
        <f t="shared" si="0"/>
        <v>0.169653979065848</v>
      </c>
      <c r="I45" s="36">
        <f t="shared" si="1"/>
        <v>792.82061940000006</v>
      </c>
      <c r="J45" s="23">
        <f t="shared" si="2"/>
        <v>0.27159409244799471</v>
      </c>
      <c r="K45" s="8" t="str">
        <f>Beef!L15</f>
        <v>S&amp;P Global (2025)</v>
      </c>
      <c r="L45" s="8" t="str">
        <f>Beef!M15</f>
        <v>S&amp;P Global (2025). Global Trade Atlas. https://connect.spglobal.com/gta/home/. Last accessed September 2025</v>
      </c>
    </row>
    <row r="46" spans="1:12" x14ac:dyDescent="0.3">
      <c r="A46" s="37" t="str">
        <f>Beef!B16</f>
        <v>United States</v>
      </c>
      <c r="B46" s="6" t="s">
        <v>45</v>
      </c>
      <c r="C46" s="32">
        <f>Beef!D16</f>
        <v>201.101641</v>
      </c>
      <c r="D46" s="32">
        <f>Beef!E16</f>
        <v>207.77028999999999</v>
      </c>
      <c r="E46" s="32">
        <f>Beef!F16</f>
        <v>220.40350100000001</v>
      </c>
      <c r="F46" s="32">
        <f>Beef!G16</f>
        <v>479.25128899999999</v>
      </c>
      <c r="G46" s="32">
        <f>Beef!H16</f>
        <v>785.51468199999999</v>
      </c>
      <c r="H46" s="23">
        <f t="shared" si="0"/>
        <v>0.63904552795057801</v>
      </c>
      <c r="I46" s="36">
        <f t="shared" si="1"/>
        <v>378.80828059999999</v>
      </c>
      <c r="J46" s="23">
        <f t="shared" si="2"/>
        <v>1.073647072222951</v>
      </c>
      <c r="K46" s="8" t="str">
        <f>Beef!L16</f>
        <v>S&amp;P Global (2025)</v>
      </c>
      <c r="L46" s="8" t="str">
        <f>Beef!M16</f>
        <v>S&amp;P Global (2025). Global Trade Atlas. https://connect.spglobal.com/gta/home/. Last accessed September 2025</v>
      </c>
    </row>
    <row r="47" spans="1:12" x14ac:dyDescent="0.3">
      <c r="A47" s="37" t="str">
        <f>Beef!B17</f>
        <v>Japan</v>
      </c>
      <c r="B47" s="6" t="s">
        <v>45</v>
      </c>
      <c r="C47" s="32">
        <f>Beef!D17</f>
        <v>334.40634699999998</v>
      </c>
      <c r="D47" s="32">
        <f>Beef!E17</f>
        <v>323.73936400000002</v>
      </c>
      <c r="E47" s="32">
        <f>Beef!F17</f>
        <v>258.19449800000001</v>
      </c>
      <c r="F47" s="32">
        <f>Beef!G17</f>
        <v>237.94256300000001</v>
      </c>
      <c r="G47" s="32">
        <f>Beef!H17</f>
        <v>221.62204199999999</v>
      </c>
      <c r="H47" s="23">
        <f t="shared" si="0"/>
        <v>-6.8590170645509985E-2</v>
      </c>
      <c r="I47" s="36">
        <f t="shared" si="1"/>
        <v>275.18096279999997</v>
      </c>
      <c r="J47" s="23">
        <f t="shared" si="2"/>
        <v>-0.19463163532473837</v>
      </c>
      <c r="K47" s="8" t="str">
        <f>Beef!L17</f>
        <v>S&amp;P Global (2025)</v>
      </c>
      <c r="L47" s="8" t="str">
        <f>Beef!M17</f>
        <v>S&amp;P Global (2025). Global Trade Atlas. https://connect.spglobal.com/gta/home/. Last accessed September 2025</v>
      </c>
    </row>
    <row r="48" spans="1:12" x14ac:dyDescent="0.3">
      <c r="A48" s="22" t="s">
        <v>210</v>
      </c>
      <c r="B48" s="6" t="s">
        <v>45</v>
      </c>
      <c r="C48" s="32">
        <f>'Sheep Meat'!D11</f>
        <v>1051.4326000000001</v>
      </c>
      <c r="D48" s="32">
        <f>'Sheep Meat'!E11</f>
        <v>1352.3337180000001</v>
      </c>
      <c r="E48" s="32">
        <f>'Sheep Meat'!F11</f>
        <v>1326.5238730000001</v>
      </c>
      <c r="F48" s="32">
        <f>'Sheep Meat'!G11</f>
        <v>1214.5488479999999</v>
      </c>
      <c r="G48" s="32">
        <f>'Sheep Meat'!H11</f>
        <v>1420.7409270000001</v>
      </c>
      <c r="H48" s="23">
        <f t="shared" si="0"/>
        <v>0.16976845298526855</v>
      </c>
      <c r="I48" s="36">
        <f t="shared" si="1"/>
        <v>1273.1159932</v>
      </c>
      <c r="J48" s="23">
        <f t="shared" si="2"/>
        <v>0.11595560387937787</v>
      </c>
      <c r="K48" s="8" t="str">
        <f>'Sheep Meat'!L11</f>
        <v>S&amp;P Global (2025)</v>
      </c>
      <c r="L48" s="8" t="str">
        <f>'Sheep Meat'!M11</f>
        <v>S&amp;P Global (2025). Global Trade Atlas. https://connect.spglobal.com/gta/home/. Last accessed September 2025</v>
      </c>
    </row>
    <row r="49" spans="1:12" x14ac:dyDescent="0.3">
      <c r="A49" s="37" t="str">
        <f>'Sheep Meat'!B12</f>
        <v>China</v>
      </c>
      <c r="B49" s="6" t="s">
        <v>45</v>
      </c>
      <c r="C49" s="32">
        <f>'Sheep Meat'!D12</f>
        <v>454.601159</v>
      </c>
      <c r="D49" s="32">
        <f>'Sheep Meat'!E12</f>
        <v>514.72879</v>
      </c>
      <c r="E49" s="32">
        <f>'Sheep Meat'!F12</f>
        <v>581.49579600000004</v>
      </c>
      <c r="F49" s="32">
        <f>'Sheep Meat'!G12</f>
        <v>431.41755599999999</v>
      </c>
      <c r="G49" s="32">
        <f>'Sheep Meat'!H12</f>
        <v>447.86511100000001</v>
      </c>
      <c r="H49" s="23">
        <f t="shared" si="0"/>
        <v>3.8124445264809736E-2</v>
      </c>
      <c r="I49" s="36">
        <f t="shared" si="1"/>
        <v>486.02168240000003</v>
      </c>
      <c r="J49" s="23">
        <f t="shared" si="2"/>
        <v>-7.8507961232471946E-2</v>
      </c>
      <c r="K49" s="8" t="str">
        <f>'Sheep Meat'!L12</f>
        <v>S&amp;P Global (2025)</v>
      </c>
      <c r="L49" s="8" t="str">
        <f>'Sheep Meat'!M12</f>
        <v>S&amp;P Global (2025). Global Trade Atlas. https://connect.spglobal.com/gta/home/. Last accessed September 2025</v>
      </c>
    </row>
    <row r="50" spans="1:12" x14ac:dyDescent="0.3">
      <c r="A50" s="37" t="str">
        <f>'Sheep Meat'!B13</f>
        <v>United States</v>
      </c>
      <c r="B50" s="6" t="s">
        <v>45</v>
      </c>
      <c r="C50" s="32">
        <f>'Sheep Meat'!D13</f>
        <v>260.49198999999999</v>
      </c>
      <c r="D50" s="32">
        <f>'Sheep Meat'!E13</f>
        <v>348.40489500000001</v>
      </c>
      <c r="E50" s="32">
        <f>'Sheep Meat'!F13</f>
        <v>316.817634</v>
      </c>
      <c r="F50" s="32">
        <f>'Sheep Meat'!G13</f>
        <v>349.41528</v>
      </c>
      <c r="G50" s="32">
        <f>'Sheep Meat'!H13</f>
        <v>379.21523100000002</v>
      </c>
      <c r="H50" s="23">
        <f t="shared" si="0"/>
        <v>8.5285197029735027E-2</v>
      </c>
      <c r="I50" s="36">
        <f t="shared" si="1"/>
        <v>330.86900600000001</v>
      </c>
      <c r="J50" s="23">
        <f t="shared" si="2"/>
        <v>0.14611892961651418</v>
      </c>
      <c r="K50" s="8" t="str">
        <f>'Sheep Meat'!L13</f>
        <v>S&amp;P Global (2025)</v>
      </c>
      <c r="L50" s="8" t="str">
        <f>'Sheep Meat'!M13</f>
        <v>S&amp;P Global (2025). Global Trade Atlas. https://connect.spglobal.com/gta/home/. Last accessed September 2025</v>
      </c>
    </row>
    <row r="51" spans="1:12" x14ac:dyDescent="0.3">
      <c r="A51" s="37" t="str">
        <f>'Sheep Meat'!B14</f>
        <v>Korea, South</v>
      </c>
      <c r="B51" s="6" t="s">
        <v>45</v>
      </c>
      <c r="C51" s="32">
        <f>'Sheep Meat'!D14</f>
        <v>71.502419000000003</v>
      </c>
      <c r="D51" s="32">
        <f>'Sheep Meat'!E14</f>
        <v>85.743803999999997</v>
      </c>
      <c r="E51" s="32">
        <f>'Sheep Meat'!F14</f>
        <v>113.656991</v>
      </c>
      <c r="F51" s="32">
        <f>'Sheep Meat'!G14</f>
        <v>55.314833</v>
      </c>
      <c r="G51" s="32">
        <f>'Sheep Meat'!H14</f>
        <v>67.927610999999999</v>
      </c>
      <c r="H51" s="23">
        <f t="shared" si="0"/>
        <v>0.2280180073941469</v>
      </c>
      <c r="I51" s="36">
        <f t="shared" si="1"/>
        <v>78.829131600000011</v>
      </c>
      <c r="J51" s="23">
        <f t="shared" si="2"/>
        <v>-0.13829304444602064</v>
      </c>
      <c r="K51" s="8" t="str">
        <f>'Sheep Meat'!L14</f>
        <v>S&amp;P Global (2025)</v>
      </c>
      <c r="L51" s="8" t="str">
        <f>'Sheep Meat'!M14</f>
        <v>S&amp;P Global (2025). Global Trade Atlas. https://connect.spglobal.com/gta/home/. Last accessed September 2025</v>
      </c>
    </row>
    <row r="52" spans="1:12" x14ac:dyDescent="0.3">
      <c r="A52" s="22" t="s">
        <v>289</v>
      </c>
      <c r="B52" s="6" t="s">
        <v>45</v>
      </c>
      <c r="C52" s="32">
        <f>+'Goat Meat'!D6</f>
        <v>3.1523319999999999</v>
      </c>
      <c r="D52" s="32">
        <f>+'Goat Meat'!E6</f>
        <v>5.0812470000000003</v>
      </c>
      <c r="E52" s="32">
        <f>+'Goat Meat'!F6</f>
        <v>11.009693</v>
      </c>
      <c r="F52" s="32">
        <f>+'Goat Meat'!G6</f>
        <v>64.624077</v>
      </c>
      <c r="G52" s="32">
        <f>+'Goat Meat'!H6</f>
        <v>63.867736000000001</v>
      </c>
      <c r="H52" s="23">
        <f t="shared" ref="H52:H53" si="5">IF(ISBLANK(G52),"N/A",IF(ISNA(G52/F52-1),"N/A",IF(ISERROR(G52/F52-1),"N/A",G52/F52-1)))</f>
        <v>-1.1703702940314309E-2</v>
      </c>
      <c r="I52" s="36">
        <f t="shared" ref="I52:I53" si="6">IF(ISBLANK(G52),"",IF(ISNA(AVERAGE(C52:G52)),"N/A",IF(ISERROR(AVERAGE(C52:G52)),"N/A",AVERAGE(C52:G52))))</f>
        <v>29.547017</v>
      </c>
      <c r="J52" s="23">
        <f t="shared" ref="J52:J53" si="7">IF(ISBLANK(G52),"",IF(ISNA(G52/AVERAGE(C52:G52)-1),"N/A",IF(ISERROR(G52/AVERAGE(C52:G52)-1),"N/A",G52/AVERAGE(C52:G52)-1)))</f>
        <v>1.1615629083639814</v>
      </c>
      <c r="K52" s="8" t="str">
        <f>+'Goat Meat'!L6</f>
        <v>S&amp;P Global (2025)</v>
      </c>
      <c r="L52" s="8" t="str">
        <f>+'Goat Meat'!M6</f>
        <v>S&amp;P Global (2025). Global Trade Atlas. https://connect.spglobal.com/gta/home/. Last accessed September 2025</v>
      </c>
    </row>
    <row r="53" spans="1:12" x14ac:dyDescent="0.3">
      <c r="A53" s="39" t="str">
        <f>+'Goat Meat'!B7</f>
        <v>United States</v>
      </c>
      <c r="B53" s="6" t="s">
        <v>45</v>
      </c>
      <c r="C53" s="32">
        <f>+'Goat Meat'!D7</f>
        <v>1.340225</v>
      </c>
      <c r="D53" s="32">
        <f>+'Goat Meat'!E7</f>
        <v>3.5448569999999999</v>
      </c>
      <c r="E53" s="32">
        <f>+'Goat Meat'!F7</f>
        <v>3.6801499999999998</v>
      </c>
      <c r="F53" s="32">
        <f>+'Goat Meat'!G7</f>
        <v>51.998027</v>
      </c>
      <c r="G53" s="32">
        <f>+'Goat Meat'!H7</f>
        <v>53.603883000000003</v>
      </c>
      <c r="H53" s="23">
        <f t="shared" si="5"/>
        <v>3.0883017926814915E-2</v>
      </c>
      <c r="I53" s="36">
        <f t="shared" si="6"/>
        <v>22.833428400000003</v>
      </c>
      <c r="J53" s="23">
        <f t="shared" si="7"/>
        <v>1.3476055396043809</v>
      </c>
      <c r="K53" s="8" t="str">
        <f>+'Goat Meat'!L7</f>
        <v>S&amp;P Global (2025)</v>
      </c>
      <c r="L53" s="8" t="str">
        <f>+'Goat Meat'!M7</f>
        <v>S&amp;P Global (2025). Global Trade Atlas. https://connect.spglobal.com/gta/home/. Last accessed September 2025</v>
      </c>
    </row>
    <row r="54" spans="1:12" x14ac:dyDescent="0.3">
      <c r="A54" s="39" t="str">
        <f>+'Goat Meat'!B8</f>
        <v>Trinidad &amp; Tobago</v>
      </c>
      <c r="B54" s="6" t="s">
        <v>45</v>
      </c>
      <c r="C54" s="32">
        <f>+'Goat Meat'!D8</f>
        <v>0</v>
      </c>
      <c r="D54" s="32">
        <f>+'Goat Meat'!E8</f>
        <v>0.34047500000000003</v>
      </c>
      <c r="E54" s="32">
        <f>+'Goat Meat'!F8</f>
        <v>1.854012</v>
      </c>
      <c r="F54" s="32">
        <f>+'Goat Meat'!G8</f>
        <v>5.2676850000000002</v>
      </c>
      <c r="G54" s="32">
        <f>+'Goat Meat'!H8</f>
        <v>3.2404850000000001</v>
      </c>
      <c r="H54" s="23">
        <f t="shared" ref="H54" si="8">IF(ISBLANK(G54),"N/A",IF(ISNA(G54/F54-1),"N/A",IF(ISERROR(G54/F54-1),"N/A",G54/F54-1)))</f>
        <v>-0.3848369824695288</v>
      </c>
      <c r="I54" s="36">
        <f t="shared" ref="I54" si="9">IF(ISBLANK(G54),"",IF(ISNA(AVERAGE(C54:G54)),"N/A",IF(ISERROR(AVERAGE(C54:G54)),"N/A",AVERAGE(C54:G54))))</f>
        <v>2.1405314</v>
      </c>
      <c r="J54" s="23">
        <f t="shared" ref="J54" si="10">IF(ISBLANK(G54),"",IF(ISNA(G54/AVERAGE(C54:G54)-1),"N/A",IF(ISERROR(G54/AVERAGE(C54:G54)-1),"N/A",G54/AVERAGE(C54:G54)-1)))</f>
        <v>0.51386940644738965</v>
      </c>
      <c r="K54" s="8" t="str">
        <f>+'Goat Meat'!L8</f>
        <v>S&amp;P Global (2025)</v>
      </c>
      <c r="L54" s="8" t="str">
        <f>+'Goat Meat'!M8</f>
        <v>S&amp;P Global (2025). Global Trade Atlas. https://connect.spglobal.com/gta/home/. Last accessed September 2025</v>
      </c>
    </row>
    <row r="55" spans="1:12" x14ac:dyDescent="0.3">
      <c r="A55" s="39" t="str">
        <f>+'Goat Meat'!B9</f>
        <v>Korea, South</v>
      </c>
      <c r="B55" s="6" t="s">
        <v>45</v>
      </c>
      <c r="C55" s="32">
        <f>+'Goat Meat'!D9</f>
        <v>0.27759600000000001</v>
      </c>
      <c r="D55" s="32">
        <f>+'Goat Meat'!E9</f>
        <v>0.271063</v>
      </c>
      <c r="E55" s="32">
        <f>+'Goat Meat'!F9</f>
        <v>3.4305460000000001</v>
      </c>
      <c r="F55" s="32">
        <f>+'Goat Meat'!G9</f>
        <v>1.4936160000000001</v>
      </c>
      <c r="G55" s="32">
        <f>+'Goat Meat'!H9</f>
        <v>0.97529600000000005</v>
      </c>
      <c r="H55" s="23">
        <f t="shared" ref="H55" si="11">IF(ISBLANK(G55),"N/A",IF(ISNA(G55/F55-1),"N/A",IF(ISERROR(G55/F55-1),"N/A",G55/F55-1)))</f>
        <v>-0.34702359910445524</v>
      </c>
      <c r="I55" s="36">
        <f t="shared" ref="I55" si="12">IF(ISBLANK(G55),"",IF(ISNA(AVERAGE(C55:G55)),"N/A",IF(ISERROR(AVERAGE(C55:G55)),"N/A",AVERAGE(C55:G55))))</f>
        <v>1.2896234000000002</v>
      </c>
      <c r="J55" s="23">
        <f t="shared" ref="J55" si="13">IF(ISBLANK(G55),"",IF(ISNA(G55/AVERAGE(C55:G55)-1),"N/A",IF(ISERROR(G55/AVERAGE(C55:G55)-1),"N/A",G55/AVERAGE(C55:G55)-1)))</f>
        <v>-0.24373580690300756</v>
      </c>
      <c r="K55" s="8" t="str">
        <f>+'Goat Meat'!L9</f>
        <v>S&amp;P Global (2025)</v>
      </c>
      <c r="L55" s="8" t="str">
        <f>+'Goat Meat'!M9</f>
        <v>S&amp;P Global (2025). Global Trade Atlas. https://connect.spglobal.com/gta/home/. Last accessed September 2025</v>
      </c>
    </row>
    <row r="56" spans="1:12" x14ac:dyDescent="0.3">
      <c r="A56" s="22" t="s">
        <v>22</v>
      </c>
      <c r="B56" s="6" t="s">
        <v>45</v>
      </c>
      <c r="C56" s="32">
        <f>Pork!D7</f>
        <v>21.528462000000001</v>
      </c>
      <c r="D56" s="32">
        <f>Pork!E7</f>
        <v>20.642503999999999</v>
      </c>
      <c r="E56" s="32">
        <f>Pork!F7</f>
        <v>19.870729999999998</v>
      </c>
      <c r="F56" s="32">
        <f>Pork!G7</f>
        <v>29.706719</v>
      </c>
      <c r="G56" s="32">
        <f>Pork!H7</f>
        <v>29.892875</v>
      </c>
      <c r="H56" s="23">
        <f t="shared" ref="H56" si="14">IF(ISBLANK(G56),"N/A",IF(ISNA(G56/F56-1),"N/A",IF(ISERROR(G56/F56-1),"N/A",G56/F56-1)))</f>
        <v>6.2664611329175113E-3</v>
      </c>
      <c r="I56" s="36">
        <f t="shared" ref="I56" si="15">IF(ISBLANK(G56),"",IF(ISNA(AVERAGE(C56:G56)),"N/A",IF(ISERROR(AVERAGE(C56:G56)),"N/A",AVERAGE(C56:G56))))</f>
        <v>24.328257999999998</v>
      </c>
      <c r="J56" s="23">
        <f t="shared" ref="J56" si="16">IF(ISBLANK(G56),"",IF(ISNA(G56/AVERAGE(C56:G56)-1),"N/A",IF(ISERROR(G56/AVERAGE(C56:G56)-1),"N/A",G56/AVERAGE(C56:G56)-1)))</f>
        <v>0.22873059797376372</v>
      </c>
      <c r="K56" s="8" t="str">
        <f>Pork!L7</f>
        <v>S&amp;P Global (2025)</v>
      </c>
      <c r="L56" s="8" t="str">
        <f>Pork!M7</f>
        <v>S&amp;P Global (2025). Global Trade Atlas. https://connect.spglobal.com/gta/home/. Last accessed September 2025</v>
      </c>
    </row>
    <row r="57" spans="1:12" x14ac:dyDescent="0.3">
      <c r="A57" s="37" t="str">
        <f>Pork!B8</f>
        <v>Singapore</v>
      </c>
      <c r="B57" s="6" t="s">
        <v>45</v>
      </c>
      <c r="C57" s="32">
        <f>Pork!D8</f>
        <v>8.8282710000000009</v>
      </c>
      <c r="D57" s="32">
        <f>Pork!E8</f>
        <v>6.5103749999999998</v>
      </c>
      <c r="E57" s="32">
        <f>Pork!F8</f>
        <v>4.9084099999999999</v>
      </c>
      <c r="F57" s="32">
        <f>Pork!G8</f>
        <v>13.180961999999999</v>
      </c>
      <c r="G57" s="32">
        <f>Pork!H8</f>
        <v>13.354899</v>
      </c>
      <c r="H57" s="23">
        <f t="shared" si="0"/>
        <v>1.3196077797660077E-2</v>
      </c>
      <c r="I57" s="36">
        <f t="shared" si="1"/>
        <v>9.3565833999999999</v>
      </c>
      <c r="J57" s="23">
        <f t="shared" si="2"/>
        <v>0.42732645337185793</v>
      </c>
      <c r="K57" s="8" t="str">
        <f>Pork!L8</f>
        <v>S&amp;P Global (2025)</v>
      </c>
      <c r="L57" s="8" t="str">
        <f>Pork!M8</f>
        <v>S&amp;P Global (2025). Global Trade Atlas. https://connect.spglobal.com/gta/home/. Last accessed September 2025</v>
      </c>
    </row>
    <row r="58" spans="1:12" x14ac:dyDescent="0.3">
      <c r="A58" s="37" t="str">
        <f>Pork!B9</f>
        <v>Philippines</v>
      </c>
      <c r="B58" s="6" t="s">
        <v>45</v>
      </c>
      <c r="C58" s="32">
        <f>Pork!D9</f>
        <v>2.1187659999999999</v>
      </c>
      <c r="D58" s="32">
        <f>Pork!E9</f>
        <v>3.086643</v>
      </c>
      <c r="E58" s="32">
        <f>Pork!F9</f>
        <v>2.6752989999999999</v>
      </c>
      <c r="F58" s="32">
        <f>Pork!G9</f>
        <v>5.7806430000000004</v>
      </c>
      <c r="G58" s="32">
        <f>Pork!H9</f>
        <v>5.1260310000000002</v>
      </c>
      <c r="H58" s="23">
        <f t="shared" si="0"/>
        <v>-0.11324207358939142</v>
      </c>
      <c r="I58" s="36">
        <f t="shared" si="1"/>
        <v>3.7574764000000003</v>
      </c>
      <c r="J58" s="23">
        <f t="shared" si="2"/>
        <v>0.36422174201812685</v>
      </c>
      <c r="K58" s="8" t="str">
        <f>Pork!L9</f>
        <v>S&amp;P Global (2025)</v>
      </c>
      <c r="L58" s="8" t="str">
        <f>Pork!M9</f>
        <v>S&amp;P Global (2025). Global Trade Atlas. https://connect.spglobal.com/gta/home/. Last accessed September 2025</v>
      </c>
    </row>
    <row r="59" spans="1:12" x14ac:dyDescent="0.3">
      <c r="A59" s="37" t="str">
        <f>Pork!B10</f>
        <v>New Zealand</v>
      </c>
      <c r="B59" s="6" t="s">
        <v>45</v>
      </c>
      <c r="C59" s="32">
        <f>Pork!D10</f>
        <v>2.9607510000000001</v>
      </c>
      <c r="D59" s="32">
        <f>Pork!E10</f>
        <v>3.7111499999999999</v>
      </c>
      <c r="E59" s="32">
        <f>Pork!F10</f>
        <v>3.8666909999999999</v>
      </c>
      <c r="F59" s="32">
        <f>Pork!G10</f>
        <v>3.4142749999999999</v>
      </c>
      <c r="G59" s="32">
        <f>Pork!H10</f>
        <v>4.3453270000000002</v>
      </c>
      <c r="H59" s="23">
        <f t="shared" si="0"/>
        <v>0.27269391012733313</v>
      </c>
      <c r="I59" s="36">
        <f t="shared" si="1"/>
        <v>3.6596387999999997</v>
      </c>
      <c r="J59" s="23">
        <f t="shared" si="2"/>
        <v>0.18736499350700964</v>
      </c>
      <c r="K59" s="8" t="str">
        <f>Pork!L10</f>
        <v>S&amp;P Global (2025)</v>
      </c>
      <c r="L59" s="8" t="str">
        <f>Pork!M10</f>
        <v>S&amp;P Global (2025). Global Trade Atlas. https://connect.spglobal.com/gta/home/. Last accessed September 2025</v>
      </c>
    </row>
    <row r="60" spans="1:12" x14ac:dyDescent="0.3">
      <c r="A60" s="22" t="s">
        <v>23</v>
      </c>
      <c r="B60" s="6" t="s">
        <v>45</v>
      </c>
      <c r="C60" s="32">
        <f>Poultry!D7</f>
        <v>12.266144000000001</v>
      </c>
      <c r="D60" s="32">
        <f>Poultry!E7</f>
        <v>19.418253</v>
      </c>
      <c r="E60" s="32">
        <f>Poultry!F7</f>
        <v>25.008717999999998</v>
      </c>
      <c r="F60" s="32">
        <f>Poultry!G7</f>
        <v>21.048725999999998</v>
      </c>
      <c r="G60" s="32">
        <f>Poultry!H7</f>
        <v>14.459725000000001</v>
      </c>
      <c r="H60" s="23">
        <f t="shared" si="0"/>
        <v>-0.3130356203031005</v>
      </c>
      <c r="I60" s="36">
        <f t="shared" si="1"/>
        <v>18.440313199999999</v>
      </c>
      <c r="J60" s="23">
        <f t="shared" si="2"/>
        <v>-0.21586337264596989</v>
      </c>
      <c r="K60" s="8" t="str">
        <f>Poultry!L7</f>
        <v>S&amp;P Global (2025)</v>
      </c>
      <c r="L60" s="8" t="str">
        <f>Poultry!M7</f>
        <v>S&amp;P Global (2025). Global Trade Atlas. https://connect.spglobal.com/gta/home/. Last accessed September 2025</v>
      </c>
    </row>
    <row r="61" spans="1:12" x14ac:dyDescent="0.3">
      <c r="A61" s="37" t="str">
        <f>Poultry!B8</f>
        <v>Vanuatu</v>
      </c>
      <c r="B61" s="6" t="s">
        <v>45</v>
      </c>
      <c r="C61" s="32">
        <f>Poultry!D8</f>
        <v>2.0642670000000001</v>
      </c>
      <c r="D61" s="32">
        <f>Poultry!E8</f>
        <v>1.713962</v>
      </c>
      <c r="E61" s="32">
        <f>Poultry!F8</f>
        <v>4.5512569999999997</v>
      </c>
      <c r="F61" s="32">
        <f>Poultry!G8</f>
        <v>2.629041</v>
      </c>
      <c r="G61" s="32">
        <f>Poultry!H8</f>
        <v>2.812338</v>
      </c>
      <c r="H61" s="23">
        <f t="shared" si="0"/>
        <v>6.9720099458319584E-2</v>
      </c>
      <c r="I61" s="36">
        <f t="shared" si="1"/>
        <v>2.7541730000000002</v>
      </c>
      <c r="J61" s="23">
        <f t="shared" si="2"/>
        <v>2.1118862177502917E-2</v>
      </c>
      <c r="K61" s="8" t="str">
        <f>Poultry!L8</f>
        <v>S&amp;P Global (2025)</v>
      </c>
      <c r="L61" s="8" t="str">
        <f>Poultry!M8</f>
        <v>S&amp;P Global (2025). Global Trade Atlas. https://connect.spglobal.com/gta/home/. Last accessed September 2025</v>
      </c>
    </row>
    <row r="62" spans="1:12" x14ac:dyDescent="0.3">
      <c r="A62" s="37" t="str">
        <f>Poultry!B9</f>
        <v>Papua New Guinea</v>
      </c>
      <c r="B62" s="6" t="s">
        <v>45</v>
      </c>
      <c r="C62" s="32">
        <f>Poultry!D9</f>
        <v>0.72758199999999995</v>
      </c>
      <c r="D62" s="32">
        <f>Poultry!E9</f>
        <v>2.2741060000000002</v>
      </c>
      <c r="E62" s="32">
        <f>Poultry!F9</f>
        <v>5.0347520000000001</v>
      </c>
      <c r="F62" s="32">
        <f>Poultry!G9</f>
        <v>7.732227</v>
      </c>
      <c r="G62" s="32">
        <f>Poultry!H9</f>
        <v>0.74004899999999996</v>
      </c>
      <c r="H62" s="23">
        <f t="shared" si="0"/>
        <v>-0.90429031636034485</v>
      </c>
      <c r="I62" s="36">
        <f t="shared" si="1"/>
        <v>3.3017431999999998</v>
      </c>
      <c r="J62" s="23">
        <f t="shared" si="2"/>
        <v>-0.77586112693440246</v>
      </c>
      <c r="K62" s="8" t="str">
        <f>Poultry!L9</f>
        <v>S&amp;P Global (2025)</v>
      </c>
      <c r="L62" s="8" t="str">
        <f>Poultry!M9</f>
        <v>S&amp;P Global (2025). Global Trade Atlas. https://connect.spglobal.com/gta/home/. Last accessed September 2025</v>
      </c>
    </row>
    <row r="63" spans="1:12" x14ac:dyDescent="0.3">
      <c r="A63" s="37" t="str">
        <f>Poultry!B10</f>
        <v>Philippines</v>
      </c>
      <c r="B63" s="6" t="s">
        <v>45</v>
      </c>
      <c r="C63" s="32">
        <f>Poultry!D10</f>
        <v>1.6473180000000001</v>
      </c>
      <c r="D63" s="32">
        <f>Poultry!E10</f>
        <v>5.5559079999999996</v>
      </c>
      <c r="E63" s="32">
        <f>Poultry!F10</f>
        <v>4.0312390000000002</v>
      </c>
      <c r="F63" s="32">
        <f>Poultry!G10</f>
        <v>1.3061039999999999</v>
      </c>
      <c r="G63" s="32">
        <f>Poultry!H10</f>
        <v>0</v>
      </c>
      <c r="H63" s="23">
        <f t="shared" si="0"/>
        <v>-1</v>
      </c>
      <c r="I63" s="36">
        <f t="shared" si="1"/>
        <v>2.5081137999999998</v>
      </c>
      <c r="J63" s="23">
        <f t="shared" si="2"/>
        <v>-1</v>
      </c>
      <c r="K63" s="8" t="str">
        <f>Poultry!L10</f>
        <v>S&amp;P Global (2025)</v>
      </c>
      <c r="L63" s="8" t="str">
        <f>Poultry!M10</f>
        <v>S&amp;P Global (2025). Global Trade Atlas. https://connect.spglobal.com/gta/home/. Last accessed September 2025</v>
      </c>
    </row>
    <row r="64" spans="1:12" x14ac:dyDescent="0.3">
      <c r="A64" s="22" t="s">
        <v>24</v>
      </c>
      <c r="B64" s="6" t="s">
        <v>45</v>
      </c>
      <c r="C64" s="32">
        <f>Wool!D10</f>
        <v>466.003916</v>
      </c>
      <c r="D64" s="32">
        <f>Wool!E10</f>
        <v>706.07081700000003</v>
      </c>
      <c r="E64" s="32">
        <f>Wool!F10</f>
        <v>755.25449400000002</v>
      </c>
      <c r="F64" s="32">
        <f>Wool!G10</f>
        <v>662.08734600000003</v>
      </c>
      <c r="G64" s="32">
        <f>Wool!H10</f>
        <v>495.514388</v>
      </c>
      <c r="H64" s="23">
        <f t="shared" si="0"/>
        <v>-0.25158758735739384</v>
      </c>
      <c r="I64" s="36">
        <f t="shared" si="1"/>
        <v>616.9861922</v>
      </c>
      <c r="J64" s="23">
        <f t="shared" si="2"/>
        <v>-0.19687929119915237</v>
      </c>
      <c r="K64" s="8" t="str">
        <f>Wool!L10</f>
        <v>S&amp;P Global (2025)</v>
      </c>
      <c r="L64" s="8" t="str">
        <f>Wool!M10</f>
        <v>S&amp;P Global (2025). Global Trade Atlas. https://connect.spglobal.com/gta/home/. Last accessed September 2025</v>
      </c>
    </row>
    <row r="65" spans="1:12" x14ac:dyDescent="0.3">
      <c r="A65" s="37" t="str">
        <f>Wool!B11</f>
        <v>China</v>
      </c>
      <c r="B65" s="6" t="s">
        <v>45</v>
      </c>
      <c r="C65" s="32">
        <f>Wool!D11</f>
        <v>421.05429800000002</v>
      </c>
      <c r="D65" s="32">
        <f>Wool!E11</f>
        <v>587.95016299999997</v>
      </c>
      <c r="E65" s="32">
        <f>Wool!F11</f>
        <v>594.57458699999995</v>
      </c>
      <c r="F65" s="32">
        <f>Wool!G11</f>
        <v>567.46235000000001</v>
      </c>
      <c r="G65" s="32">
        <f>Wool!H11</f>
        <v>430.42803600000002</v>
      </c>
      <c r="H65" s="23">
        <f t="shared" si="0"/>
        <v>-0.24148617789356419</v>
      </c>
      <c r="I65" s="36">
        <f t="shared" si="1"/>
        <v>520.29388680000011</v>
      </c>
      <c r="J65" s="23">
        <f t="shared" si="2"/>
        <v>-0.17272132746496083</v>
      </c>
      <c r="K65" s="8" t="str">
        <f>Wool!L11</f>
        <v>S&amp;P Global (2025)</v>
      </c>
      <c r="L65" s="8" t="str">
        <f>Wool!M11</f>
        <v>S&amp;P Global (2025). Global Trade Atlas. https://connect.spglobal.com/gta/home/. Last accessed September 2025</v>
      </c>
    </row>
    <row r="66" spans="1:12" x14ac:dyDescent="0.3">
      <c r="A66" s="37" t="str">
        <f>Wool!B12</f>
        <v>Italy</v>
      </c>
      <c r="B66" s="6" t="s">
        <v>45</v>
      </c>
      <c r="C66" s="32">
        <f>Wool!D12</f>
        <v>11.937002</v>
      </c>
      <c r="D66" s="32">
        <f>Wool!E12</f>
        <v>50.216537000000002</v>
      </c>
      <c r="E66" s="32">
        <f>Wool!F12</f>
        <v>78.842713000000003</v>
      </c>
      <c r="F66" s="32">
        <f>Wool!G12</f>
        <v>48.450794000000002</v>
      </c>
      <c r="G66" s="32">
        <f>Wool!H12</f>
        <v>31.820152</v>
      </c>
      <c r="H66" s="23">
        <f t="shared" si="0"/>
        <v>-0.34324807969091287</v>
      </c>
      <c r="I66" s="36">
        <f t="shared" si="1"/>
        <v>44.2534396</v>
      </c>
      <c r="J66" s="23">
        <f t="shared" si="2"/>
        <v>-0.28095641180397646</v>
      </c>
      <c r="K66" s="8" t="str">
        <f>Wool!L12</f>
        <v>S&amp;P Global (2025)</v>
      </c>
      <c r="L66" s="8" t="str">
        <f>Wool!M12</f>
        <v>S&amp;P Global (2025). Global Trade Atlas. https://connect.spglobal.com/gta/home/. Last accessed September 2025</v>
      </c>
    </row>
    <row r="67" spans="1:12" x14ac:dyDescent="0.3">
      <c r="A67" s="37" t="str">
        <f>Wool!B13</f>
        <v>India</v>
      </c>
      <c r="B67" s="6" t="s">
        <v>45</v>
      </c>
      <c r="C67" s="32">
        <f>Wool!D13</f>
        <v>9.4971029999999992</v>
      </c>
      <c r="D67" s="32">
        <f>Wool!E13</f>
        <v>26.5122</v>
      </c>
      <c r="E67" s="32">
        <f>Wool!F13</f>
        <v>40.815897999999997</v>
      </c>
      <c r="F67" s="32">
        <f>Wool!G13</f>
        <v>22.497496999999999</v>
      </c>
      <c r="G67" s="32">
        <f>Wool!H13</f>
        <v>12.512032</v>
      </c>
      <c r="H67" s="23">
        <f t="shared" si="0"/>
        <v>-0.44384782004860368</v>
      </c>
      <c r="I67" s="36">
        <f t="shared" si="1"/>
        <v>22.366945999999999</v>
      </c>
      <c r="J67" s="23">
        <f t="shared" si="2"/>
        <v>-0.44060168071224382</v>
      </c>
      <c r="K67" s="8" t="str">
        <f>Wool!L13</f>
        <v>S&amp;P Global (2025)</v>
      </c>
      <c r="L67" s="8" t="str">
        <f>Wool!M13</f>
        <v>S&amp;P Global (2025). Global Trade Atlas. https://connect.spglobal.com/gta/home/. Last accessed September 2025</v>
      </c>
    </row>
    <row r="68" spans="1:12" x14ac:dyDescent="0.3">
      <c r="A68" s="22" t="s">
        <v>25</v>
      </c>
      <c r="B68" s="6" t="s">
        <v>45</v>
      </c>
      <c r="C68" s="32">
        <f>Eggs!D9</f>
        <v>0.89936799999999995</v>
      </c>
      <c r="D68" s="32">
        <f>Eggs!E9</f>
        <v>1.101235</v>
      </c>
      <c r="E68" s="32">
        <f>Eggs!F9</f>
        <v>2.0233300000000001</v>
      </c>
      <c r="F68" s="32">
        <f>Eggs!G9</f>
        <v>1.298583</v>
      </c>
      <c r="G68" s="32">
        <f>Eggs!H9</f>
        <v>1.3455239999999999</v>
      </c>
      <c r="H68" s="23">
        <f t="shared" si="0"/>
        <v>3.6147862708814094E-2</v>
      </c>
      <c r="I68" s="36">
        <f t="shared" si="1"/>
        <v>1.3336079999999999</v>
      </c>
      <c r="J68" s="23">
        <f t="shared" si="2"/>
        <v>8.9351593571724841E-3</v>
      </c>
      <c r="K68" s="8" t="str">
        <f>Eggs!L9</f>
        <v>S&amp;P Global (2025)</v>
      </c>
      <c r="L68" s="8" t="str">
        <f>Eggs!M9</f>
        <v>S&amp;P Global (2025). Global Trade Atlas. https://connect.spglobal.com/gta/home/. Last accessed September 2025</v>
      </c>
    </row>
    <row r="69" spans="1:12" x14ac:dyDescent="0.3">
      <c r="A69" s="37" t="str">
        <f>Eggs!B10</f>
        <v>United States</v>
      </c>
      <c r="B69" s="6" t="s">
        <v>45</v>
      </c>
      <c r="C69" s="32">
        <f>Eggs!D10</f>
        <v>0</v>
      </c>
      <c r="D69" s="32">
        <f>Eggs!E10</f>
        <v>2.4499999999999999E-4</v>
      </c>
      <c r="E69" s="32">
        <f>Eggs!F10</f>
        <v>0.50940200000000002</v>
      </c>
      <c r="F69" s="32">
        <f>Eggs!G10</f>
        <v>0.70228900000000005</v>
      </c>
      <c r="G69" s="32">
        <f>Eggs!H10</f>
        <v>1.092625</v>
      </c>
      <c r="H69" s="23">
        <f t="shared" si="0"/>
        <v>0.5558053735712789</v>
      </c>
      <c r="I69" s="36">
        <f t="shared" si="1"/>
        <v>0.46091219999999999</v>
      </c>
      <c r="J69" s="23">
        <f t="shared" si="2"/>
        <v>1.3705707941772856</v>
      </c>
      <c r="K69" s="8" t="str">
        <f>Eggs!L10</f>
        <v>S&amp;P Global (2025)</v>
      </c>
      <c r="L69" s="8" t="str">
        <f>Eggs!M10</f>
        <v>S&amp;P Global (2025). Global Trade Atlas. https://connect.spglobal.com/gta/home/. Last accessed September 2025</v>
      </c>
    </row>
    <row r="70" spans="1:12" x14ac:dyDescent="0.3">
      <c r="A70" s="37" t="str">
        <f>Eggs!B11</f>
        <v>Singapore</v>
      </c>
      <c r="B70" s="6" t="s">
        <v>45</v>
      </c>
      <c r="C70" s="32">
        <f>Eggs!D11</f>
        <v>0.45018399999999997</v>
      </c>
      <c r="D70" s="32">
        <f>Eggs!E11</f>
        <v>0.35331699999999999</v>
      </c>
      <c r="E70" s="32">
        <f>Eggs!F11</f>
        <v>0</v>
      </c>
      <c r="F70" s="32">
        <f>Eggs!G11</f>
        <v>0</v>
      </c>
      <c r="G70" s="32">
        <f>Eggs!H11</f>
        <v>1.2300000000000001E-4</v>
      </c>
      <c r="H70" s="23" t="str">
        <f t="shared" ref="H70:H86" si="17">IF(ISBLANK(G70),"N/A",IF(ISNA(G70/F70-1),"N/A",IF(ISERROR(G70/F70-1),"N/A",G70/F70-1)))</f>
        <v>N/A</v>
      </c>
      <c r="I70" s="36">
        <f t="shared" ref="I70:I86" si="18">IF(ISBLANK(G70),"",IF(ISNA(AVERAGE(C70:G70)),"N/A",IF(ISERROR(AVERAGE(C70:G70)),"N/A",AVERAGE(C70:G70))))</f>
        <v>0.1607248</v>
      </c>
      <c r="J70" s="23">
        <f t="shared" si="2"/>
        <v>-0.99923471673319864</v>
      </c>
      <c r="K70" s="8" t="str">
        <f>Eggs!L11</f>
        <v>S&amp;P Global (2025)</v>
      </c>
      <c r="L70" s="8" t="str">
        <f>Eggs!M11</f>
        <v>S&amp;P Global (2025). Global Trade Atlas. https://connect.spglobal.com/gta/home/. Last accessed September 2025</v>
      </c>
    </row>
    <row r="71" spans="1:12" x14ac:dyDescent="0.3">
      <c r="A71" s="37" t="str">
        <f>Eggs!B12</f>
        <v>Philippines</v>
      </c>
      <c r="B71" s="6" t="s">
        <v>45</v>
      </c>
      <c r="C71" s="32">
        <f>Eggs!D12</f>
        <v>0</v>
      </c>
      <c r="D71" s="32">
        <f>Eggs!E12</f>
        <v>0.35416900000000001</v>
      </c>
      <c r="E71" s="32">
        <f>Eggs!F12</f>
        <v>0.76368400000000003</v>
      </c>
      <c r="F71" s="32">
        <f>Eggs!G12</f>
        <v>0</v>
      </c>
      <c r="G71" s="32">
        <f>Eggs!H12</f>
        <v>0</v>
      </c>
      <c r="H71" s="23" t="str">
        <f t="shared" si="17"/>
        <v>N/A</v>
      </c>
      <c r="I71" s="36">
        <f t="shared" si="18"/>
        <v>0.22357060000000001</v>
      </c>
      <c r="J71" s="23">
        <f t="shared" si="2"/>
        <v>-1</v>
      </c>
      <c r="K71" s="8" t="str">
        <f>Eggs!L12</f>
        <v>S&amp;P Global (2025)</v>
      </c>
      <c r="L71" s="8" t="str">
        <f>Eggs!M12</f>
        <v>S&amp;P Global (2025). Global Trade Atlas. https://connect.spglobal.com/gta/home/. Last accessed September 2025</v>
      </c>
    </row>
    <row r="72" spans="1:12" x14ac:dyDescent="0.3">
      <c r="A72" s="22" t="s">
        <v>26</v>
      </c>
      <c r="B72" s="6" t="s">
        <v>45</v>
      </c>
      <c r="C72" s="32">
        <f>Milk!D10</f>
        <v>38.002543000000003</v>
      </c>
      <c r="D72" s="32">
        <f>Milk!E10</f>
        <v>12.283333000000001</v>
      </c>
      <c r="E72" s="32">
        <f>Milk!F10</f>
        <v>15.400045</v>
      </c>
      <c r="F72" s="32">
        <f>Milk!G10</f>
        <v>13.932829999999999</v>
      </c>
      <c r="G72" s="32">
        <f>Milk!H10</f>
        <v>20.913906999999998</v>
      </c>
      <c r="H72" s="23">
        <f t="shared" si="17"/>
        <v>0.50105233466567811</v>
      </c>
      <c r="I72" s="36">
        <f t="shared" si="18"/>
        <v>20.1065316</v>
      </c>
      <c r="J72" s="23">
        <f t="shared" ref="J72:J86" si="19">IF(ISBLANK(G72),"",IF(ISNA(G72/AVERAGE(C72:G72)-1),"N/A",IF(ISERROR(G72/AVERAGE(C72:G72)-1),"N/A",G72/AVERAGE(C72:G72)-1)))</f>
        <v>4.0154881809650211E-2</v>
      </c>
      <c r="K72" s="8" t="str">
        <f>Milk!L10</f>
        <v>S&amp;P Global (2025)</v>
      </c>
      <c r="L72" s="8" t="str">
        <f>Milk!M10</f>
        <v>S&amp;P Global (2025). Global Trade Atlas. https://connect.spglobal.com/gta/home/. Last accessed September 2025</v>
      </c>
    </row>
    <row r="73" spans="1:12" x14ac:dyDescent="0.3">
      <c r="A73" s="37" t="str">
        <f>Milk!B11</f>
        <v>China</v>
      </c>
      <c r="B73" s="6" t="s">
        <v>45</v>
      </c>
      <c r="C73" s="32">
        <f>Milk!D11</f>
        <v>32.013775000000003</v>
      </c>
      <c r="D73" s="32">
        <f>Milk!E11</f>
        <v>7.8199149999999999</v>
      </c>
      <c r="E73" s="32">
        <f>Milk!F11</f>
        <v>6.9536480000000003</v>
      </c>
      <c r="F73" s="32">
        <f>Milk!G11</f>
        <v>9.3472709999999992</v>
      </c>
      <c r="G73" s="32">
        <f>Milk!H11</f>
        <v>13.535843</v>
      </c>
      <c r="H73" s="23">
        <f t="shared" si="17"/>
        <v>0.44810640453240325</v>
      </c>
      <c r="I73" s="36">
        <f t="shared" si="18"/>
        <v>13.934090400000002</v>
      </c>
      <c r="J73" s="23">
        <f t="shared" si="19"/>
        <v>-2.858079634677857E-2</v>
      </c>
      <c r="K73" s="8" t="str">
        <f>Milk!L11</f>
        <v>S&amp;P Global (2025)</v>
      </c>
      <c r="L73" s="8" t="str">
        <f>Milk!M11</f>
        <v>S&amp;P Global (2025). Global Trade Atlas. https://connect.spglobal.com/gta/home/. Last accessed September 2025</v>
      </c>
    </row>
    <row r="74" spans="1:12" x14ac:dyDescent="0.3">
      <c r="A74" s="37" t="str">
        <f>Milk!B12</f>
        <v>New Zealand</v>
      </c>
      <c r="B74" s="6" t="s">
        <v>45</v>
      </c>
      <c r="C74" s="32">
        <f>Milk!D12</f>
        <v>8.2044000000000006E-2</v>
      </c>
      <c r="D74" s="32">
        <f>Milk!E12</f>
        <v>0.14832500000000001</v>
      </c>
      <c r="E74" s="32">
        <f>Milk!F12</f>
        <v>3.5164840000000002</v>
      </c>
      <c r="F74" s="32">
        <f>Milk!G12</f>
        <v>0.84956900000000002</v>
      </c>
      <c r="G74" s="32">
        <f>Milk!H12</f>
        <v>3.4477159999999998</v>
      </c>
      <c r="H74" s="23">
        <f t="shared" si="17"/>
        <v>3.058194213771924</v>
      </c>
      <c r="I74" s="36">
        <f t="shared" si="18"/>
        <v>1.6088276000000001</v>
      </c>
      <c r="J74" s="23">
        <f t="shared" si="19"/>
        <v>1.1429990385545348</v>
      </c>
      <c r="K74" s="8" t="str">
        <f>Milk!L12</f>
        <v>S&amp;P Global (2025)</v>
      </c>
      <c r="L74" s="8" t="str">
        <f>Milk!M12</f>
        <v>S&amp;P Global (2025). Global Trade Atlas. https://connect.spglobal.com/gta/home/. Last accessed September 2025</v>
      </c>
    </row>
    <row r="75" spans="1:12" x14ac:dyDescent="0.3">
      <c r="A75" s="37" t="str">
        <f>Milk!B13</f>
        <v>Hong Kong</v>
      </c>
      <c r="B75" s="6" t="s">
        <v>45</v>
      </c>
      <c r="C75" s="32">
        <f>Milk!D13</f>
        <v>2.9146969999999999</v>
      </c>
      <c r="D75" s="32">
        <f>Milk!E13</f>
        <v>2.2506940000000002</v>
      </c>
      <c r="E75" s="32">
        <f>Milk!F13</f>
        <v>2.416366</v>
      </c>
      <c r="F75" s="32">
        <f>Milk!G13</f>
        <v>2.3967239999999999</v>
      </c>
      <c r="G75" s="32">
        <f>Milk!H13</f>
        <v>2.050773</v>
      </c>
      <c r="H75" s="23">
        <f t="shared" si="17"/>
        <v>-0.1443432785752552</v>
      </c>
      <c r="I75" s="36">
        <f t="shared" si="18"/>
        <v>2.4058507999999996</v>
      </c>
      <c r="J75" s="23">
        <f t="shared" si="19"/>
        <v>-0.14758928525409798</v>
      </c>
      <c r="K75" s="8" t="str">
        <f>Milk!L13</f>
        <v>S&amp;P Global (2025)</v>
      </c>
      <c r="L75" s="8" t="str">
        <f>Milk!M13</f>
        <v>S&amp;P Global (2025). Global Trade Atlas. https://connect.spglobal.com/gta/home/. Last accessed September 2025</v>
      </c>
    </row>
    <row r="76" spans="1:12" x14ac:dyDescent="0.3">
      <c r="A76" s="9" t="s">
        <v>290</v>
      </c>
      <c r="B76" s="9" t="s">
        <v>45</v>
      </c>
      <c r="C76" s="33">
        <f>SUM(C77,C81)</f>
        <v>143.62210999999999</v>
      </c>
      <c r="D76" s="33">
        <f t="shared" ref="D76:G76" si="20">SUM(D77,D81)</f>
        <v>93.887107</v>
      </c>
      <c r="E76" s="33">
        <f t="shared" si="20"/>
        <v>97.128591999999998</v>
      </c>
      <c r="F76" s="33">
        <f t="shared" si="20"/>
        <v>90.499797999999998</v>
      </c>
      <c r="G76" s="33">
        <f t="shared" si="20"/>
        <v>93.878066999999987</v>
      </c>
      <c r="H76" s="21">
        <f t="shared" si="17"/>
        <v>3.7329022546547463E-2</v>
      </c>
      <c r="I76" s="31">
        <f t="shared" si="18"/>
        <v>103.8031348</v>
      </c>
      <c r="J76" s="21">
        <f t="shared" si="19"/>
        <v>-9.5614335916953563E-2</v>
      </c>
      <c r="K76" s="25"/>
      <c r="L76" s="25"/>
    </row>
    <row r="77" spans="1:12" x14ac:dyDescent="0.3">
      <c r="A77" s="22" t="s">
        <v>27</v>
      </c>
      <c r="B77" s="6" t="s">
        <v>45</v>
      </c>
      <c r="C77" s="32">
        <f>Forestry!D12</f>
        <v>114.69051399999999</v>
      </c>
      <c r="D77" s="32">
        <f>Forestry!E12</f>
        <v>57.668880999999999</v>
      </c>
      <c r="E77" s="32">
        <f>Forestry!F12</f>
        <v>34.660277000000001</v>
      </c>
      <c r="F77" s="32">
        <f>Forestry!G12</f>
        <v>43.921171999999999</v>
      </c>
      <c r="G77" s="32">
        <f>Forestry!H12</f>
        <v>42.041857999999998</v>
      </c>
      <c r="H77" s="23">
        <f t="shared" si="17"/>
        <v>-4.278833907255486E-2</v>
      </c>
      <c r="I77" s="36">
        <f t="shared" si="18"/>
        <v>58.596540400000002</v>
      </c>
      <c r="J77" s="23">
        <f t="shared" si="19"/>
        <v>-0.28251979190225374</v>
      </c>
      <c r="K77" s="8" t="str">
        <f>Forestry!L12</f>
        <v>S&amp;P Global (2025)</v>
      </c>
      <c r="L77" s="8" t="str">
        <f>Forestry!M12</f>
        <v>S&amp;P Global (2025). Global Trade Atlas. https://connect.spglobal.com/gta/home/. Last accessed September 2025</v>
      </c>
    </row>
    <row r="78" spans="1:12" x14ac:dyDescent="0.3">
      <c r="A78" s="37" t="str">
        <f>Forestry!B13</f>
        <v>India</v>
      </c>
      <c r="B78" s="6" t="s">
        <v>45</v>
      </c>
      <c r="C78" s="32">
        <f>Forestry!D13</f>
        <v>9.3004309999999997</v>
      </c>
      <c r="D78" s="32">
        <f>Forestry!E13</f>
        <v>15.759029</v>
      </c>
      <c r="E78" s="32">
        <f>Forestry!F13</f>
        <v>14.047753999999999</v>
      </c>
      <c r="F78" s="32">
        <f>Forestry!G13</f>
        <v>20.332021000000001</v>
      </c>
      <c r="G78" s="32">
        <f>Forestry!H13</f>
        <v>18.39537</v>
      </c>
      <c r="H78" s="23">
        <f t="shared" si="17"/>
        <v>-9.5251278758761937E-2</v>
      </c>
      <c r="I78" s="36">
        <f t="shared" si="18"/>
        <v>15.566920999999999</v>
      </c>
      <c r="J78" s="23">
        <f t="shared" si="19"/>
        <v>0.18169611061814983</v>
      </c>
      <c r="K78" s="8" t="str">
        <f>Forestry!L13</f>
        <v>S&amp;P Global (2025)</v>
      </c>
      <c r="L78" s="8" t="str">
        <f>Forestry!M13</f>
        <v>S&amp;P Global (2025). Global Trade Atlas. https://connect.spglobal.com/gta/home/. Last accessed September 2025</v>
      </c>
    </row>
    <row r="79" spans="1:12" x14ac:dyDescent="0.3">
      <c r="A79" s="37" t="str">
        <f>Forestry!B14</f>
        <v>China</v>
      </c>
      <c r="B79" s="6" t="s">
        <v>45</v>
      </c>
      <c r="C79" s="32">
        <f>Forestry!D14</f>
        <v>74.473309</v>
      </c>
      <c r="D79" s="32">
        <f>Forestry!E14</f>
        <v>0.188419</v>
      </c>
      <c r="E79" s="32">
        <f>Forestry!F14</f>
        <v>0.290439</v>
      </c>
      <c r="F79" s="32">
        <f>Forestry!G14</f>
        <v>3.194474</v>
      </c>
      <c r="G79" s="32">
        <f>Forestry!H14</f>
        <v>3.4805440000000001</v>
      </c>
      <c r="H79" s="23">
        <f t="shared" si="17"/>
        <v>8.9551519279856384E-2</v>
      </c>
      <c r="I79" s="36">
        <f t="shared" si="18"/>
        <v>16.325437000000001</v>
      </c>
      <c r="J79" s="23">
        <f t="shared" si="19"/>
        <v>-0.78680239922520911</v>
      </c>
      <c r="K79" s="8" t="str">
        <f>Forestry!L14</f>
        <v>S&amp;P Global (2025)</v>
      </c>
      <c r="L79" s="8" t="str">
        <f>Forestry!M14</f>
        <v>S&amp;P Global (2025). Global Trade Atlas. https://connect.spglobal.com/gta/home/. Last accessed September 2025</v>
      </c>
    </row>
    <row r="80" spans="1:12" x14ac:dyDescent="0.3">
      <c r="A80" s="37" t="str">
        <f>Forestry!B15</f>
        <v>Korea, South</v>
      </c>
      <c r="B80" s="6" t="s">
        <v>45</v>
      </c>
      <c r="C80" s="32">
        <f>Forestry!D15</f>
        <v>14.915404000000001</v>
      </c>
      <c r="D80" s="32">
        <f>Forestry!E15</f>
        <v>25.476046</v>
      </c>
      <c r="E80" s="32">
        <f>Forestry!F15</f>
        <v>6.1070130000000002</v>
      </c>
      <c r="F80" s="32">
        <f>Forestry!G15</f>
        <v>1.580252</v>
      </c>
      <c r="G80" s="32">
        <f>Forestry!H15</f>
        <v>1.106428</v>
      </c>
      <c r="H80" s="23">
        <f t="shared" si="17"/>
        <v>-0.29984078488747368</v>
      </c>
      <c r="I80" s="36">
        <f t="shared" si="18"/>
        <v>9.8370286</v>
      </c>
      <c r="J80" s="23">
        <f t="shared" si="19"/>
        <v>-0.88752416557983782</v>
      </c>
      <c r="K80" s="8" t="str">
        <f>Forestry!L15</f>
        <v>S&amp;P Global (2025)</v>
      </c>
      <c r="L80" s="8" t="str">
        <f>Forestry!M15</f>
        <v>S&amp;P Global (2025). Global Trade Atlas. https://connect.spglobal.com/gta/home/. Last accessed September 2025</v>
      </c>
    </row>
    <row r="81" spans="1:12" x14ac:dyDescent="0.3">
      <c r="A81" s="22" t="s">
        <v>28</v>
      </c>
      <c r="B81" s="6" t="s">
        <v>45</v>
      </c>
      <c r="C81" s="32">
        <f>Fisheries!D10</f>
        <v>28.931595999999999</v>
      </c>
      <c r="D81" s="32">
        <f>Fisheries!E10</f>
        <v>36.218226000000001</v>
      </c>
      <c r="E81" s="32">
        <f>Fisheries!F10</f>
        <v>62.468314999999997</v>
      </c>
      <c r="F81" s="32">
        <f>Fisheries!G10</f>
        <v>46.578626</v>
      </c>
      <c r="G81" s="32">
        <f>Fisheries!H10</f>
        <v>51.836208999999997</v>
      </c>
      <c r="H81" s="23">
        <f t="shared" si="17"/>
        <v>0.11287544205361488</v>
      </c>
      <c r="I81" s="36">
        <f t="shared" si="18"/>
        <v>45.206594399999993</v>
      </c>
      <c r="J81" s="23">
        <f t="shared" si="19"/>
        <v>0.14665149383604104</v>
      </c>
      <c r="K81" s="8" t="str">
        <f>Fisheries!L10</f>
        <v>S&amp;P Global (2025)</v>
      </c>
      <c r="L81" s="8" t="str">
        <f>Fisheries!M10</f>
        <v>S&amp;P Global (2025). Global Trade Atlas. https://connect.spglobal.com/gta/home/. Last accessed September 2025</v>
      </c>
    </row>
    <row r="82" spans="1:12" x14ac:dyDescent="0.3">
      <c r="A82" s="37" t="str">
        <f>Fisheries!B11</f>
        <v>Japan</v>
      </c>
      <c r="B82" s="6" t="s">
        <v>45</v>
      </c>
      <c r="C82" s="32">
        <f>Fisheries!D11</f>
        <v>9.9273500000000006</v>
      </c>
      <c r="D82" s="32">
        <f>Fisheries!E11</f>
        <v>4.4715400000000001</v>
      </c>
      <c r="E82" s="32">
        <f>Fisheries!F11</f>
        <v>7.4532400000000001</v>
      </c>
      <c r="F82" s="32">
        <f>Fisheries!G11</f>
        <v>9.9909870000000005</v>
      </c>
      <c r="G82" s="32">
        <f>Fisheries!H11</f>
        <v>23.10877</v>
      </c>
      <c r="H82" s="23">
        <f t="shared" si="17"/>
        <v>1.3129616723552937</v>
      </c>
      <c r="I82" s="36">
        <f t="shared" si="18"/>
        <v>10.9903774</v>
      </c>
      <c r="J82" s="23">
        <f t="shared" si="19"/>
        <v>1.1026366210135787</v>
      </c>
      <c r="K82" s="8" t="str">
        <f>Fisheries!L11</f>
        <v>S&amp;P Global (2025)</v>
      </c>
      <c r="L82" s="8" t="str">
        <f>Fisheries!M11</f>
        <v>S&amp;P Global (2025). Global Trade Atlas. https://connect.spglobal.com/gta/home/. Last accessed September 2025</v>
      </c>
    </row>
    <row r="83" spans="1:12" x14ac:dyDescent="0.3">
      <c r="A83" s="37" t="str">
        <f>Fisheries!B12</f>
        <v>United States</v>
      </c>
      <c r="B83" s="6" t="s">
        <v>45</v>
      </c>
      <c r="C83" s="32">
        <f>Fisheries!D12</f>
        <v>5.8365840000000002</v>
      </c>
      <c r="D83" s="32">
        <f>Fisheries!E12</f>
        <v>6.7467119999999996</v>
      </c>
      <c r="E83" s="32">
        <f>Fisheries!F12</f>
        <v>9.6257520000000003</v>
      </c>
      <c r="F83" s="32">
        <f>Fisheries!G12</f>
        <v>10.552432</v>
      </c>
      <c r="G83" s="32">
        <f>Fisheries!H12</f>
        <v>11.283068</v>
      </c>
      <c r="H83" s="23">
        <f t="shared" si="17"/>
        <v>6.9238636174106638E-2</v>
      </c>
      <c r="I83" s="36">
        <f t="shared" si="18"/>
        <v>8.8089096000000016</v>
      </c>
      <c r="J83" s="23">
        <f t="shared" si="19"/>
        <v>0.28086999553270453</v>
      </c>
      <c r="K83" s="8" t="str">
        <f>Fisheries!L12</f>
        <v>S&amp;P Global (2025)</v>
      </c>
      <c r="L83" s="8" t="str">
        <f>Fisheries!M12</f>
        <v>S&amp;P Global (2025). Global Trade Atlas. https://connect.spglobal.com/gta/home/. Last accessed September 2025</v>
      </c>
    </row>
    <row r="84" spans="1:12" x14ac:dyDescent="0.3">
      <c r="A84" s="37" t="str">
        <f>Fisheries!B13</f>
        <v>China</v>
      </c>
      <c r="B84" s="6" t="s">
        <v>45</v>
      </c>
      <c r="C84" s="32">
        <f>Fisheries!D13</f>
        <v>5.5677510000000003</v>
      </c>
      <c r="D84" s="32">
        <f>Fisheries!E13</f>
        <v>13.517689000000001</v>
      </c>
      <c r="E84" s="32">
        <f>Fisheries!F13</f>
        <v>29.343643</v>
      </c>
      <c r="F84" s="32">
        <f>Fisheries!G13</f>
        <v>11.629911</v>
      </c>
      <c r="G84" s="32">
        <f>Fisheries!H13</f>
        <v>7.6391099999999996</v>
      </c>
      <c r="H84" s="23">
        <f t="shared" si="17"/>
        <v>-0.34314974551395971</v>
      </c>
      <c r="I84" s="36">
        <f t="shared" si="18"/>
        <v>13.5396208</v>
      </c>
      <c r="J84" s="23">
        <f t="shared" si="19"/>
        <v>-0.43579586807925963</v>
      </c>
      <c r="K84" s="8" t="str">
        <f>Fisheries!L13</f>
        <v>S&amp;P Global (2025)</v>
      </c>
      <c r="L84" s="8" t="str">
        <f>Fisheries!M13</f>
        <v>S&amp;P Global (2025). Global Trade Atlas. https://connect.spglobal.com/gta/home/. Last accessed September 2025</v>
      </c>
    </row>
    <row r="85" spans="1:12" x14ac:dyDescent="0.3">
      <c r="A85" s="9" t="s">
        <v>291</v>
      </c>
      <c r="B85" s="9" t="s">
        <v>45</v>
      </c>
      <c r="C85" s="33">
        <f>+C86-SUM(C2,C34,C43,C76)</f>
        <v>800.44102599999951</v>
      </c>
      <c r="D85" s="33">
        <f t="shared" ref="D85:G85" si="21">+D86-SUM(D2,D34,D43,D76)</f>
        <v>1044.1625540000005</v>
      </c>
      <c r="E85" s="33">
        <f t="shared" si="21"/>
        <v>1103.5596989999995</v>
      </c>
      <c r="F85" s="33">
        <f t="shared" si="21"/>
        <v>1110.3385380000018</v>
      </c>
      <c r="G85" s="33">
        <f t="shared" si="21"/>
        <v>1188.5811689999991</v>
      </c>
      <c r="H85" s="21">
        <f t="shared" si="17"/>
        <v>7.0467364972247148E-2</v>
      </c>
      <c r="I85" s="31">
        <f t="shared" si="18"/>
        <v>1049.4165972000001</v>
      </c>
      <c r="J85" s="21">
        <f t="shared" si="19"/>
        <v>0.13261136918485072</v>
      </c>
      <c r="K85" s="25"/>
      <c r="L85" s="25"/>
    </row>
    <row r="86" spans="1:12" x14ac:dyDescent="0.3">
      <c r="A86" s="15" t="s">
        <v>292</v>
      </c>
      <c r="B86" s="9" t="s">
        <v>45</v>
      </c>
      <c r="C86" s="33">
        <v>6773.0604694809654</v>
      </c>
      <c r="D86" s="33">
        <v>11383.455374648212</v>
      </c>
      <c r="E86" s="33">
        <v>13097.338243848659</v>
      </c>
      <c r="F86" s="33">
        <v>11103.164700464245</v>
      </c>
      <c r="G86" s="33">
        <v>12827.552370691112</v>
      </c>
      <c r="H86" s="21">
        <f t="shared" si="17"/>
        <v>0.15530596156560361</v>
      </c>
      <c r="I86" s="31">
        <f t="shared" si="18"/>
        <v>11036.914231826639</v>
      </c>
      <c r="J86" s="21">
        <f t="shared" si="19"/>
        <v>0.16224083120088872</v>
      </c>
      <c r="K86" s="11"/>
      <c r="L86" s="11"/>
    </row>
    <row r="87" spans="1:12" x14ac:dyDescent="0.3">
      <c r="A87" s="26" t="s">
        <v>219</v>
      </c>
      <c r="B87" s="27"/>
      <c r="C87" s="27"/>
      <c r="D87" s="27"/>
      <c r="E87" s="27"/>
      <c r="F87" s="27"/>
      <c r="G87" s="27"/>
      <c r="H87" s="28"/>
      <c r="I87" s="28"/>
      <c r="J87" s="28"/>
      <c r="K87" s="13"/>
      <c r="L87" s="13"/>
    </row>
    <row r="88" spans="1:12" x14ac:dyDescent="0.3">
      <c r="A88" s="13" t="s">
        <v>293</v>
      </c>
      <c r="B88" s="13"/>
      <c r="C88" s="13"/>
      <c r="D88" s="13"/>
      <c r="E88" s="13"/>
      <c r="F88" s="13"/>
      <c r="G88" s="13"/>
      <c r="H88" s="29"/>
      <c r="I88" s="29"/>
      <c r="J88" s="29"/>
      <c r="K88" s="13"/>
      <c r="L88" s="13"/>
    </row>
    <row r="89" spans="1:12" x14ac:dyDescent="0.3">
      <c r="A89" s="13" t="s">
        <v>294</v>
      </c>
      <c r="B89" s="13"/>
      <c r="C89" s="13"/>
      <c r="D89" s="13"/>
      <c r="E89" s="13"/>
      <c r="F89" s="13"/>
      <c r="G89" s="13"/>
      <c r="H89" s="29"/>
      <c r="I89" s="29"/>
      <c r="J89" s="29"/>
      <c r="K89" s="13"/>
      <c r="L89" s="13"/>
    </row>
    <row r="90" spans="1:12" x14ac:dyDescent="0.3">
      <c r="A90" s="13" t="s">
        <v>86</v>
      </c>
      <c r="B90" s="13"/>
      <c r="C90" s="13"/>
      <c r="D90" s="13"/>
      <c r="E90" s="13"/>
      <c r="F90" s="13"/>
      <c r="G90" s="13"/>
      <c r="H90" s="29"/>
      <c r="I90" s="29"/>
      <c r="J90" s="29"/>
      <c r="K90" s="13"/>
      <c r="L90" s="13"/>
    </row>
    <row r="91" spans="1:12" x14ac:dyDescent="0.3">
      <c r="A91" s="13" t="s">
        <v>246</v>
      </c>
      <c r="B91" s="13"/>
      <c r="C91" s="13"/>
      <c r="D91" s="13"/>
      <c r="E91" s="13"/>
      <c r="F91" s="13"/>
      <c r="G91" s="13"/>
      <c r="H91" s="29"/>
      <c r="I91" s="29"/>
      <c r="J91" s="29"/>
      <c r="K91" s="13"/>
      <c r="L91" s="13"/>
    </row>
  </sheetData>
  <conditionalFormatting sqref="A86:B86 H86:L86">
    <cfRule type="expression" dxfId="22" priority="13">
      <formula>MOD(ROW(),2)=0</formula>
    </cfRule>
  </conditionalFormatting>
  <conditionalFormatting sqref="A26:E85">
    <cfRule type="expression" dxfId="21" priority="8">
      <formula>MOD(ROW(),2)=0</formula>
    </cfRule>
  </conditionalFormatting>
  <conditionalFormatting sqref="A2:G25">
    <cfRule type="expression" dxfId="20" priority="7">
      <formula>MOD(ROW(),2)=0</formula>
    </cfRule>
  </conditionalFormatting>
  <conditionalFormatting sqref="C26:G86">
    <cfRule type="expression" dxfId="19" priority="5">
      <formula>MOD(ROW(),2)=0</formula>
    </cfRule>
  </conditionalFormatting>
  <conditionalFormatting sqref="F2:L85">
    <cfRule type="expression" dxfId="18" priority="9">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9AF0-0734-416E-9292-50153B09BD29}">
  <sheetPr codeName="Sheet26"/>
  <dimension ref="A1:L65"/>
  <sheetViews>
    <sheetView workbookViewId="0"/>
  </sheetViews>
  <sheetFormatPr defaultRowHeight="14.4" x14ac:dyDescent="0.3"/>
  <cols>
    <col min="1" max="1" width="36.6640625" customWidth="1"/>
    <col min="3" max="6" width="9.6640625" bestFit="1" customWidth="1"/>
    <col min="7" max="7" width="10.33203125" bestFit="1" customWidth="1"/>
    <col min="9" max="9" width="9.6640625" bestFit="1" customWidth="1"/>
  </cols>
  <sheetData>
    <row r="1" spans="1:12" ht="46.8" x14ac:dyDescent="0.3">
      <c r="A1" s="5" t="s">
        <v>295</v>
      </c>
      <c r="B1" s="5" t="s">
        <v>38</v>
      </c>
      <c r="C1" s="5" t="str">
        <f>+'Gross Value of Production'!C1</f>
        <v>2020-21</v>
      </c>
      <c r="D1" s="5" t="str">
        <f>+'Gross Value of Production'!D1</f>
        <v>2021-22e</v>
      </c>
      <c r="E1" s="5" t="str">
        <f>+'Gross Value of Production'!E1</f>
        <v>2022-23e</v>
      </c>
      <c r="F1" s="5" t="str">
        <f>+'Gross Value of Production'!F1</f>
        <v>2023-24e</v>
      </c>
      <c r="G1" s="5" t="str">
        <f>+'Gross Value of Production'!G1</f>
        <v>2024-25e</v>
      </c>
      <c r="H1" s="19" t="s">
        <v>39</v>
      </c>
      <c r="I1" s="19" t="s">
        <v>111</v>
      </c>
      <c r="J1" s="19" t="s">
        <v>41</v>
      </c>
      <c r="K1" s="9" t="s">
        <v>42</v>
      </c>
      <c r="L1" s="9" t="s">
        <v>43</v>
      </c>
    </row>
    <row r="2" spans="1:12" x14ac:dyDescent="0.3">
      <c r="A2" s="9" t="s">
        <v>200</v>
      </c>
      <c r="B2" s="9" t="s">
        <v>45</v>
      </c>
      <c r="C2" s="30">
        <f t="shared" ref="C2:G2" si="0">SUM(C3,C4,C5,C6,C7,C8,C9,C10)</f>
        <v>216.11130686999999</v>
      </c>
      <c r="D2" s="30">
        <f t="shared" si="0"/>
        <v>142.87363594000004</v>
      </c>
      <c r="E2" s="35">
        <f t="shared" si="0"/>
        <v>165.15962164999999</v>
      </c>
      <c r="F2" s="35">
        <f t="shared" si="0"/>
        <v>197.43811975</v>
      </c>
      <c r="G2" s="35">
        <f t="shared" si="0"/>
        <v>208.52013209999998</v>
      </c>
      <c r="H2" s="21">
        <f>IF(ISBLANK(G2),"N/A",IF(ISNA(G2/F2-1),"N/A",IF(ISERROR(G2/F2-1),"N/A",G2/F2-1)))</f>
        <v>5.6129041159996174E-2</v>
      </c>
      <c r="I2" s="31">
        <f>IF(ISBLANK(G2),"",IF(ISNA(AVERAGE(C2:G2)),"N/A",IF(ISERROR(AVERAGE(C2:G2)),"N/A",AVERAGE(C2:G2))))</f>
        <v>186.020563262</v>
      </c>
      <c r="J2" s="21">
        <f>IF(ISBLANK(G2),"",IF(ISNA(G2/AVERAGE(C2:G2)-1),"N/A",IF(ISERROR(G2/AVERAGE(C2:G2)-1),"N/A",G2/AVERAGE(C2:G2)-1)))</f>
        <v>0.1209520519852989</v>
      </c>
      <c r="K2" s="11"/>
      <c r="L2" s="11"/>
    </row>
    <row r="3" spans="1:12" x14ac:dyDescent="0.3">
      <c r="A3" s="22" t="s">
        <v>9</v>
      </c>
      <c r="B3" s="6" t="s">
        <v>45</v>
      </c>
      <c r="C3" s="32">
        <f>+Wheat!D12</f>
        <v>81.377630409999995</v>
      </c>
      <c r="D3" s="32">
        <f>+Wheat!E12</f>
        <v>0.36599771000000003</v>
      </c>
      <c r="E3" s="32">
        <f>+Wheat!F12</f>
        <v>0.12195565</v>
      </c>
      <c r="F3" s="32">
        <f>+Wheat!G12</f>
        <v>6.3067810000000002E-2</v>
      </c>
      <c r="G3" s="32">
        <f>+Wheat!H12</f>
        <v>2.814053E-2</v>
      </c>
      <c r="H3" s="121">
        <f>+Wheat!I12</f>
        <v>-0.55380518207307339</v>
      </c>
      <c r="I3" s="32">
        <f>+Wheat!J12</f>
        <v>16.391358422000003</v>
      </c>
      <c r="J3" s="121">
        <f>+Wheat!K12</f>
        <v>-0.99828320940366777</v>
      </c>
      <c r="K3" s="8" t="str">
        <f>+Wheat!L12</f>
        <v>S&amp;P Global (2025)</v>
      </c>
      <c r="L3" s="8" t="str">
        <f>+Wheat!M12</f>
        <v>S&amp;P Global (2025). Global Trade Atlas. https://connect.spglobal.com/gta/home/. Last accessed September 2025</v>
      </c>
    </row>
    <row r="4" spans="1:12" x14ac:dyDescent="0.3">
      <c r="A4" s="22" t="s">
        <v>285</v>
      </c>
      <c r="B4" s="6" t="s">
        <v>45</v>
      </c>
      <c r="C4" s="32">
        <f>Barley!D12</f>
        <v>7.9234540000000006E-2</v>
      </c>
      <c r="D4" s="32">
        <f>Barley!E12</f>
        <v>2.9418389999999999E-2</v>
      </c>
      <c r="E4" s="32">
        <f>Barley!F12</f>
        <v>1.2190290000000001E-2</v>
      </c>
      <c r="F4" s="32">
        <f>Barley!G12</f>
        <v>1.142281E-2</v>
      </c>
      <c r="G4" s="32">
        <f>Barley!H12</f>
        <v>0.32790724999999998</v>
      </c>
      <c r="H4" s="121">
        <f>Barley!I12</f>
        <v>27.706355966701711</v>
      </c>
      <c r="I4" s="32">
        <f>Barley!J12</f>
        <v>9.2034656000000006E-2</v>
      </c>
      <c r="J4" s="121">
        <f>Barley!K12</f>
        <v>2.5628671225760864</v>
      </c>
      <c r="K4" s="8" t="str">
        <f>Barley!L12</f>
        <v>S&amp;P Global (2025)</v>
      </c>
      <c r="L4" s="8" t="str">
        <f>Barley!M12</f>
        <v>S&amp;P Global (2025). Global Trade Atlas. https://connect.spglobal.com/gta/home/. Last accessed September 2025</v>
      </c>
    </row>
    <row r="5" spans="1:12" x14ac:dyDescent="0.3">
      <c r="A5" s="22" t="s">
        <v>11</v>
      </c>
      <c r="B5" s="6" t="s">
        <v>45</v>
      </c>
      <c r="C5" s="32">
        <f>Rice!D11</f>
        <v>103.98743898000001</v>
      </c>
      <c r="D5" s="32">
        <f>Rice!E11</f>
        <v>105.92654983000001</v>
      </c>
      <c r="E5" s="32">
        <f>Rice!F11</f>
        <v>123.66780653999999</v>
      </c>
      <c r="F5" s="32">
        <f>Rice!G11</f>
        <v>149.54159609999999</v>
      </c>
      <c r="G5" s="32">
        <f>Rice!H11</f>
        <v>158.88081207999997</v>
      </c>
      <c r="H5" s="121">
        <f>Rice!I11</f>
        <v>6.2452295706104E-2</v>
      </c>
      <c r="I5" s="32">
        <f>Rice!J11</f>
        <v>128.400840706</v>
      </c>
      <c r="J5" s="121">
        <f>Rice!K11</f>
        <v>0.23738140035850774</v>
      </c>
      <c r="K5" s="8" t="str">
        <f>Rice!L11</f>
        <v>S&amp;P Global (2025)</v>
      </c>
      <c r="L5" s="8" t="str">
        <f>Rice!M11</f>
        <v>S&amp;P Global (2025). Global Trade Atlas. https://connect.spglobal.com/gta/home/. Last accessed September 2025</v>
      </c>
    </row>
    <row r="6" spans="1:12" x14ac:dyDescent="0.3">
      <c r="A6" s="22" t="s">
        <v>201</v>
      </c>
      <c r="B6" s="6" t="s">
        <v>45</v>
      </c>
      <c r="C6" s="32">
        <f>+'Coarse Grains'!D13</f>
        <v>0</v>
      </c>
      <c r="D6" s="32">
        <f>+'Coarse Grains'!E13</f>
        <v>1.2479100000000001E-3</v>
      </c>
      <c r="E6" s="32">
        <f>+'Coarse Grains'!F13</f>
        <v>6.6449679999999997E-2</v>
      </c>
      <c r="F6" s="32">
        <f>+'Coarse Grains'!G13</f>
        <v>0</v>
      </c>
      <c r="G6" s="32">
        <f>+'Coarse Grains'!H13</f>
        <v>2.5429099999999998E-3</v>
      </c>
      <c r="H6" s="121" t="str">
        <f>+'Coarse Grains'!I13</f>
        <v>N/A</v>
      </c>
      <c r="I6" s="32">
        <f>+'Coarse Grains'!J13</f>
        <v>1.4048099999999999E-2</v>
      </c>
      <c r="J6" s="121">
        <f>+'Coarse Grains'!K13</f>
        <v>-0.81898548558168005</v>
      </c>
      <c r="K6" s="8" t="str">
        <f>+'Coarse Grains'!L13</f>
        <v>S&amp;P Global (2025)</v>
      </c>
      <c r="L6" s="8" t="str">
        <f>+'Coarse Grains'!M13</f>
        <v>S&amp;P Global (2025). Global Trade Atlas. https://connect.spglobal.com/gta/home/. Last accessed September 2025</v>
      </c>
    </row>
    <row r="7" spans="1:12" x14ac:dyDescent="0.3">
      <c r="A7" s="22" t="s">
        <v>13</v>
      </c>
      <c r="B7" s="6" t="s">
        <v>45</v>
      </c>
      <c r="C7" s="32">
        <f>+Pulses!D12</f>
        <v>15.576629969999999</v>
      </c>
      <c r="D7" s="32">
        <f>+Pulses!E12</f>
        <v>15.93127982</v>
      </c>
      <c r="E7" s="32">
        <f>+Pulses!F12</f>
        <v>13.8134792</v>
      </c>
      <c r="F7" s="32">
        <f>+Pulses!G12</f>
        <v>20.730481780000002</v>
      </c>
      <c r="G7" s="32">
        <f>+Pulses!H12</f>
        <v>16.577572180000001</v>
      </c>
      <c r="H7" s="121">
        <f>+Pulses!I12</f>
        <v>-0.20032865825658586</v>
      </c>
      <c r="I7" s="32">
        <f>+Pulses!J12</f>
        <v>16.525888590000001</v>
      </c>
      <c r="J7" s="121">
        <f>+Pulses!K12</f>
        <v>3.1274318302783044E-3</v>
      </c>
      <c r="K7" s="8" t="str">
        <f>+Pulses!L12</f>
        <v>S&amp;P Global (2025)</v>
      </c>
      <c r="L7" s="8" t="str">
        <f>+Pulses!M12</f>
        <v>S&amp;P Global (2025). Global Trade Atlas. https://connect.spglobal.com/gta/home/. Last accessed September 2025</v>
      </c>
    </row>
    <row r="8" spans="1:12" x14ac:dyDescent="0.3">
      <c r="A8" s="22" t="s">
        <v>14</v>
      </c>
      <c r="B8" s="6" t="s">
        <v>45</v>
      </c>
      <c r="C8" s="32">
        <f>+Oilseeds!D13</f>
        <v>11.732509179999999</v>
      </c>
      <c r="D8" s="32">
        <f>+Oilseeds!E13</f>
        <v>17.801829820000002</v>
      </c>
      <c r="E8" s="32">
        <f>+Oilseeds!F13</f>
        <v>23.497223810000001</v>
      </c>
      <c r="F8" s="32">
        <f>+Oilseeds!G13</f>
        <v>22.266487609999999</v>
      </c>
      <c r="G8" s="32">
        <f>+Oilseeds!H13</f>
        <v>27.02570991</v>
      </c>
      <c r="H8" s="121">
        <f>+Oilseeds!I13</f>
        <v>0.21373924722023108</v>
      </c>
      <c r="I8" s="32">
        <f>+Oilseeds!J13</f>
        <v>20.464752066000003</v>
      </c>
      <c r="J8" s="121">
        <f>+Oilseeds!K13</f>
        <v>0.32059796389619244</v>
      </c>
      <c r="K8" s="8" t="str">
        <f>+Oilseeds!L13</f>
        <v>S&amp;P Global (2025)</v>
      </c>
      <c r="L8" s="8" t="str">
        <f>+Oilseeds!M13</f>
        <v>S&amp;P Global (2025). Global Trade Atlas. https://connect.spglobal.com/gta/home/. Last accessed September 2025</v>
      </c>
    </row>
    <row r="9" spans="1:12" x14ac:dyDescent="0.3">
      <c r="A9" s="22" t="s">
        <v>286</v>
      </c>
      <c r="B9" s="6" t="s">
        <v>45</v>
      </c>
      <c r="C9" s="32">
        <f>+'Cotton Lint'!D12</f>
        <v>2.2016560000000001E-2</v>
      </c>
      <c r="D9" s="32">
        <f>+'Cotton Lint'!E12</f>
        <v>5.7569799999999992E-3</v>
      </c>
      <c r="E9" s="32">
        <f>+'Cotton Lint'!F12</f>
        <v>8.1355190000000008E-2</v>
      </c>
      <c r="F9" s="32">
        <f>+'Cotton Lint'!G12</f>
        <v>0.16042394000000001</v>
      </c>
      <c r="G9" s="32">
        <f>+'Cotton Lint'!H12</f>
        <v>0.11146807999999998</v>
      </c>
      <c r="H9" s="121">
        <f>+'Cotton Lint'!I12</f>
        <v>-0.30516555072765339</v>
      </c>
      <c r="I9" s="32">
        <f>+'Cotton Lint'!J12</f>
        <v>7.6204149999999998E-2</v>
      </c>
      <c r="J9" s="121">
        <f>+'Cotton Lint'!K12</f>
        <v>0.46275603100356055</v>
      </c>
      <c r="K9" s="8" t="str">
        <f>+'Cotton Lint'!L12</f>
        <v>S&amp;P Global (2025)</v>
      </c>
      <c r="L9" s="8" t="str">
        <f>+'Cotton Lint'!M12</f>
        <v>S&amp;P Global (2025). Global Trade Atlas. https://connect.spglobal.com/gta/home/. Last accessed September 2025</v>
      </c>
    </row>
    <row r="10" spans="1:12" x14ac:dyDescent="0.3">
      <c r="A10" s="22" t="s">
        <v>202</v>
      </c>
      <c r="B10" s="6" t="s">
        <v>45</v>
      </c>
      <c r="C10" s="32">
        <f>+Sugarcane!D13</f>
        <v>3.3358472300000002</v>
      </c>
      <c r="D10" s="32">
        <f>+Sugarcane!E13</f>
        <v>2.81155548</v>
      </c>
      <c r="E10" s="32">
        <f>+Sugarcane!F13</f>
        <v>3.8991612899999999</v>
      </c>
      <c r="F10" s="32">
        <f>+Sugarcane!G13</f>
        <v>4.6646397000000004</v>
      </c>
      <c r="G10" s="32">
        <f>+Sugarcane!H13</f>
        <v>5.5659791600000004</v>
      </c>
      <c r="H10" s="121">
        <f>+Sugarcane!I13</f>
        <v>0.19322809862463752</v>
      </c>
      <c r="I10" s="32">
        <f>+Sugarcane!J13</f>
        <v>4.0554365719999996</v>
      </c>
      <c r="J10" s="121">
        <f>+Sugarcane!K13</f>
        <v>0.3724734837253425</v>
      </c>
      <c r="K10" s="8" t="str">
        <f>+Sugarcane!L13</f>
        <v>S&amp;P Global (2025)</v>
      </c>
      <c r="L10" s="8" t="str">
        <f>+Sugarcane!M13</f>
        <v>S&amp;P Global (2025). Global Trade Atlas. https://connect.spglobal.com/gta/home/. Last accessed September 2025</v>
      </c>
    </row>
    <row r="11" spans="1:12" x14ac:dyDescent="0.3">
      <c r="A11" s="9" t="s">
        <v>287</v>
      </c>
      <c r="B11" s="9" t="s">
        <v>45</v>
      </c>
      <c r="C11" s="33">
        <f t="shared" ref="C11:G11" si="1">SUM(C12)</f>
        <v>1313.1326507199999</v>
      </c>
      <c r="D11" s="33">
        <f t="shared" si="1"/>
        <v>1231.0799839700003</v>
      </c>
      <c r="E11" s="33">
        <f t="shared" si="1"/>
        <v>1385.73930765</v>
      </c>
      <c r="F11" s="33">
        <f t="shared" si="1"/>
        <v>1426.7108681900002</v>
      </c>
      <c r="G11" s="33">
        <f t="shared" si="1"/>
        <v>1593.46531198</v>
      </c>
      <c r="H11" s="21">
        <f>IF(ISBLANK(G11),"N/A",IF(ISNA(G11/F11-1),"N/A",IF(ISERROR(G11/F11-1),"N/A",G11/F11-1)))</f>
        <v>0.11688033469707371</v>
      </c>
      <c r="I11" s="31">
        <f>IF(ISBLANK(G11),"",IF(ISNA(AVERAGE(C11:G11)),"N/A",IF(ISERROR(AVERAGE(C11:G11)),"N/A",AVERAGE(C11:G11))))</f>
        <v>1390.0256245020003</v>
      </c>
      <c r="J11" s="21">
        <f>IF(ISBLANK(G11),"",IF(ISNA(G11/AVERAGE(C11:G11)-1),"N/A",IF(ISERROR(G11/AVERAGE(C11:G11)-1),"N/A",G11/AVERAGE(C11:G11)-1)))</f>
        <v>0.14635678932241647</v>
      </c>
      <c r="K11" s="25"/>
      <c r="L11" s="25"/>
    </row>
    <row r="12" spans="1:12" x14ac:dyDescent="0.3">
      <c r="A12" s="22" t="s">
        <v>17</v>
      </c>
      <c r="B12" s="6" t="s">
        <v>45</v>
      </c>
      <c r="C12" s="32">
        <f>+Horticulture!D18</f>
        <v>1313.1326507199999</v>
      </c>
      <c r="D12" s="32">
        <f>+Horticulture!E18</f>
        <v>1231.0799839700003</v>
      </c>
      <c r="E12" s="32">
        <f>+Horticulture!F18</f>
        <v>1385.73930765</v>
      </c>
      <c r="F12" s="32">
        <f>+Horticulture!G18</f>
        <v>1426.7108681900002</v>
      </c>
      <c r="G12" s="32">
        <f>+Horticulture!H18</f>
        <v>1593.46531198</v>
      </c>
      <c r="H12" s="121">
        <f>+Horticulture!I18</f>
        <v>0.11688033469707371</v>
      </c>
      <c r="I12" s="32">
        <f>+Horticulture!J18</f>
        <v>1390.0256245020003</v>
      </c>
      <c r="J12" s="121">
        <f>+Horticulture!K18</f>
        <v>0.14635678932241647</v>
      </c>
      <c r="K12" s="8" t="str">
        <f>+Horticulture!L18</f>
        <v>S&amp;P Global (2025)</v>
      </c>
      <c r="L12" s="8" t="str">
        <f>+Horticulture!M18</f>
        <v>S&amp;P Global (2025). Global Trade Atlas. https://connect.spglobal.com/gta/home/. Last accessed September 2025</v>
      </c>
    </row>
    <row r="13" spans="1:12" x14ac:dyDescent="0.3">
      <c r="A13" s="22" t="s">
        <v>296</v>
      </c>
      <c r="B13" s="6" t="s">
        <v>45</v>
      </c>
      <c r="C13" s="32">
        <f>+Wine!D12</f>
        <v>242.03695989999997</v>
      </c>
      <c r="D13" s="32">
        <f>+Wine!E12</f>
        <v>298.20472947000002</v>
      </c>
      <c r="E13" s="32">
        <f>+Wine!F12</f>
        <v>315.79784408</v>
      </c>
      <c r="F13" s="32">
        <f>+Wine!G12</f>
        <v>289.04440322000005</v>
      </c>
      <c r="G13" s="32">
        <f>+Wine!H12</f>
        <v>282.56837108000002</v>
      </c>
      <c r="H13" s="121">
        <f>+Wine!I12</f>
        <v>-2.2404973311560439E-2</v>
      </c>
      <c r="I13" s="32">
        <f>+Wine!J12</f>
        <v>285.53046155000004</v>
      </c>
      <c r="J13" s="121">
        <f>+Wine!K12</f>
        <v>-1.0373991110862013E-2</v>
      </c>
      <c r="K13" s="8" t="str">
        <f>+Wine!L12</f>
        <v>S&amp;P Global (2025)</v>
      </c>
      <c r="L13" s="8" t="str">
        <f>+Wine!M12</f>
        <v>S&amp;P Global (2025). Global Trade Atlas. https://connect.spglobal.com/gta/home/. Last accessed September 2025</v>
      </c>
    </row>
    <row r="14" spans="1:12" x14ac:dyDescent="0.3">
      <c r="A14" s="15" t="s">
        <v>208</v>
      </c>
      <c r="B14" s="9" t="s">
        <v>45</v>
      </c>
      <c r="C14" s="33">
        <f t="shared" ref="C14:G14" si="2">SUM(C15,C16,C18,C19,C20,C21,C22)</f>
        <v>210.28821965999998</v>
      </c>
      <c r="D14" s="33">
        <f t="shared" si="2"/>
        <v>256.62392173000001</v>
      </c>
      <c r="E14" s="33">
        <f t="shared" si="2"/>
        <v>280.59917281000008</v>
      </c>
      <c r="F14" s="33">
        <f t="shared" si="2"/>
        <v>299.83693296000001</v>
      </c>
      <c r="G14" s="33">
        <f t="shared" si="2"/>
        <v>347.79352391000003</v>
      </c>
      <c r="H14" s="21">
        <f>IF(ISBLANK(G14),"N/A",IF(ISNA(G14/F14-1),"N/A",IF(ISERROR(G14/F14-1),"N/A",G14/F14-1)))</f>
        <v>0.15994224085929298</v>
      </c>
      <c r="I14" s="31">
        <f>IF(ISBLANK(G14),"",IF(ISNA(AVERAGE(C14:G14)),"N/A",IF(ISERROR(AVERAGE(C14:G14)),"N/A",AVERAGE(C14:G14))))</f>
        <v>279.02835421399999</v>
      </c>
      <c r="J14" s="21">
        <f>IF(ISBLANK(G14),"",IF(ISNA(G14/AVERAGE(C14:G14)-1),"N/A",IF(ISERROR(G14/AVERAGE(C14:G14)-1),"N/A",G14/AVERAGE(C14:G14)-1)))</f>
        <v>0.24644509655553071</v>
      </c>
      <c r="K14" s="25"/>
      <c r="L14" s="25"/>
    </row>
    <row r="15" spans="1:12" x14ac:dyDescent="0.3">
      <c r="A15" s="22" t="s">
        <v>209</v>
      </c>
      <c r="B15" s="6" t="s">
        <v>45</v>
      </c>
      <c r="C15" s="32">
        <f>+Beef!D18</f>
        <v>24.422131149999998</v>
      </c>
      <c r="D15" s="32">
        <f>+Beef!E18</f>
        <v>23.7640779</v>
      </c>
      <c r="E15" s="32">
        <f>+Beef!F18</f>
        <v>18.581478180000001</v>
      </c>
      <c r="F15" s="32">
        <f>+Beef!G18</f>
        <v>10.06299209</v>
      </c>
      <c r="G15" s="32">
        <f>+Beef!H18</f>
        <v>9.1271088800000015</v>
      </c>
      <c r="H15" s="121">
        <f>+Beef!I18</f>
        <v>-9.3002478947590839E-2</v>
      </c>
      <c r="I15" s="32">
        <f>+Beef!J18</f>
        <v>17.191557640000003</v>
      </c>
      <c r="J15" s="121">
        <f>+Beef!K18</f>
        <v>-0.46909354747683008</v>
      </c>
      <c r="K15" s="8" t="str">
        <f>+Beef!L18</f>
        <v>S&amp;P Global (2025)</v>
      </c>
      <c r="L15" s="8" t="str">
        <f>+Beef!M18</f>
        <v>S&amp;P Global (2025). Global Trade Atlas. https://connect.spglobal.com/gta/home/. Last accessed September 2025</v>
      </c>
    </row>
    <row r="16" spans="1:12" x14ac:dyDescent="0.3">
      <c r="A16" s="22" t="s">
        <v>210</v>
      </c>
      <c r="B16" s="6" t="s">
        <v>45</v>
      </c>
      <c r="C16" s="32">
        <f>'Sheep Meat'!D15</f>
        <v>3.1704763499999995</v>
      </c>
      <c r="D16" s="32">
        <f>'Sheep Meat'!E15</f>
        <v>2.5932112799999998</v>
      </c>
      <c r="E16" s="32">
        <f>'Sheep Meat'!F15</f>
        <v>2.3239632700000001</v>
      </c>
      <c r="F16" s="32">
        <f>'Sheep Meat'!G15</f>
        <v>2.1651528999999998</v>
      </c>
      <c r="G16" s="32">
        <f>'Sheep Meat'!H15</f>
        <v>0.70418135999999998</v>
      </c>
      <c r="H16" s="121">
        <f>'Sheep Meat'!I15</f>
        <v>-0.6747659899677293</v>
      </c>
      <c r="I16" s="32">
        <f>'Sheep Meat'!J15</f>
        <v>2.1913970319999998</v>
      </c>
      <c r="J16" s="121">
        <f>'Sheep Meat'!K15</f>
        <v>-0.67866098670521513</v>
      </c>
      <c r="K16" s="8" t="str">
        <f>'Sheep Meat'!L15</f>
        <v>S&amp;P Global (2025)</v>
      </c>
      <c r="L16" s="8" t="str">
        <f>'Sheep Meat'!M15</f>
        <v>S&amp;P Global (2025). Global Trade Atlas. https://connect.spglobal.com/gta/home/. Last accessed September 2025</v>
      </c>
    </row>
    <row r="17" spans="1:12" x14ac:dyDescent="0.3">
      <c r="A17" s="22" t="s">
        <v>289</v>
      </c>
      <c r="B17" s="6" t="s">
        <v>45</v>
      </c>
      <c r="C17" s="32">
        <f>+'Goat Meat'!D10</f>
        <v>0</v>
      </c>
      <c r="D17" s="32">
        <f>+'Goat Meat'!E10</f>
        <v>0</v>
      </c>
      <c r="E17" s="32">
        <f>+'Goat Meat'!F10</f>
        <v>0</v>
      </c>
      <c r="F17" s="32">
        <f>+'Goat Meat'!G10</f>
        <v>0</v>
      </c>
      <c r="G17" s="32">
        <f>+'Goat Meat'!H10</f>
        <v>0</v>
      </c>
      <c r="H17" s="121" t="str">
        <f>+'Goat Meat'!I10</f>
        <v>N/A</v>
      </c>
      <c r="I17" s="32">
        <f>+'Goat Meat'!J10</f>
        <v>0</v>
      </c>
      <c r="J17" s="121" t="str">
        <f>+'Goat Meat'!K10</f>
        <v>N/A</v>
      </c>
      <c r="K17" s="8" t="str">
        <f>+'Goat Meat'!L10</f>
        <v>S&amp;P Global (2025)</v>
      </c>
      <c r="L17" s="8" t="str">
        <f>+'Goat Meat'!M10</f>
        <v>S&amp;P Global (2025). Global Trade Atlas. https://connect.spglobal.com/gta/home/. Last accessed September 2025</v>
      </c>
    </row>
    <row r="18" spans="1:12" x14ac:dyDescent="0.3">
      <c r="A18" s="22" t="s">
        <v>22</v>
      </c>
      <c r="B18" s="6" t="s">
        <v>45</v>
      </c>
      <c r="C18" s="32">
        <f>Pork!D11</f>
        <v>174.49798494999999</v>
      </c>
      <c r="D18" s="32">
        <f>Pork!E11</f>
        <v>220.01334068</v>
      </c>
      <c r="E18" s="32">
        <f>Pork!F11</f>
        <v>234.84250713999998</v>
      </c>
      <c r="F18" s="32">
        <f>Pork!G11</f>
        <v>262.78722605000002</v>
      </c>
      <c r="G18" s="32">
        <f>Pork!H11</f>
        <v>302.79260973999999</v>
      </c>
      <c r="H18" s="121">
        <f>Pork!I11</f>
        <v>0.15223488710363808</v>
      </c>
      <c r="I18" s="32">
        <f>Pork!J11</f>
        <v>238.98673371199999</v>
      </c>
      <c r="J18" s="121">
        <f>Pork!K11</f>
        <v>0.26698501225131466</v>
      </c>
      <c r="K18" s="8" t="str">
        <f>Pork!L11</f>
        <v>S&amp;P Global (2025)</v>
      </c>
      <c r="L18" s="8" t="str">
        <f>Pork!M11</f>
        <v>S&amp;P Global (2025). Global Trade Atlas. https://connect.spglobal.com/gta/home/. Last accessed September 2025</v>
      </c>
    </row>
    <row r="19" spans="1:12" x14ac:dyDescent="0.3">
      <c r="A19" s="22" t="s">
        <v>23</v>
      </c>
      <c r="B19" s="6" t="s">
        <v>45</v>
      </c>
      <c r="C19" s="32">
        <f>Poultry!D11</f>
        <v>2.5200000000000001E-3</v>
      </c>
      <c r="D19" s="32">
        <f>Poultry!E11</f>
        <v>9.3427800000000002E-3</v>
      </c>
      <c r="E19" s="32">
        <f>Poultry!F11</f>
        <v>0.3150096</v>
      </c>
      <c r="F19" s="32">
        <f>Poultry!G11</f>
        <v>0.13691303999999999</v>
      </c>
      <c r="G19" s="32">
        <f>Poultry!H11</f>
        <v>0</v>
      </c>
      <c r="H19" s="121">
        <f>Poultry!I11</f>
        <v>-1</v>
      </c>
      <c r="I19" s="32">
        <f>Poultry!J11</f>
        <v>9.2757084000000004E-2</v>
      </c>
      <c r="J19" s="121">
        <f>Poultry!K11</f>
        <v>-1</v>
      </c>
      <c r="K19" s="8" t="str">
        <f>Poultry!L11</f>
        <v>S&amp;P Global (2025)</v>
      </c>
      <c r="L19" s="8" t="str">
        <f>Poultry!M11</f>
        <v>S&amp;P Global (2025). Global Trade Atlas. https://connect.spglobal.com/gta/home/. Last accessed September 2025</v>
      </c>
    </row>
    <row r="20" spans="1:12" x14ac:dyDescent="0.3">
      <c r="A20" s="22" t="s">
        <v>24</v>
      </c>
      <c r="B20" s="6" t="s">
        <v>45</v>
      </c>
      <c r="C20" s="32">
        <f>Wool!D14</f>
        <v>3.9309169999999997E-2</v>
      </c>
      <c r="D20" s="32">
        <f>Wool!E14</f>
        <v>5.18521E-3</v>
      </c>
      <c r="E20" s="32">
        <f>Wool!F14</f>
        <v>1.7798770000000002E-2</v>
      </c>
      <c r="F20" s="32">
        <f>Wool!G14</f>
        <v>0.29304582000000001</v>
      </c>
      <c r="G20" s="32">
        <f>Wool!H14</f>
        <v>8.6119820000000014E-2</v>
      </c>
      <c r="H20" s="121">
        <f>Wool!I14</f>
        <v>-0.70612165701595742</v>
      </c>
      <c r="I20" s="32">
        <f>Wool!J14</f>
        <v>8.8291758000000012E-2</v>
      </c>
      <c r="J20" s="121">
        <f>Wool!K14</f>
        <v>-2.459955548738757E-2</v>
      </c>
      <c r="K20" s="8" t="str">
        <f>Wool!L14</f>
        <v>S&amp;P Global (2025)</v>
      </c>
      <c r="L20" s="8" t="str">
        <f>Wool!M14</f>
        <v>S&amp;P Global (2025). Global Trade Atlas. https://connect.spglobal.com/gta/home/. Last accessed September 2025</v>
      </c>
    </row>
    <row r="21" spans="1:12" x14ac:dyDescent="0.3">
      <c r="A21" s="22" t="s">
        <v>25</v>
      </c>
      <c r="B21" s="6" t="s">
        <v>45</v>
      </c>
      <c r="C21" s="32">
        <f>Eggs!D13</f>
        <v>7.0963791400000007</v>
      </c>
      <c r="D21" s="32">
        <f>Eggs!E13</f>
        <v>9.4969367699999996</v>
      </c>
      <c r="E21" s="32">
        <f>Eggs!F13</f>
        <v>22.546723990000004</v>
      </c>
      <c r="F21" s="32">
        <f>Eggs!G13</f>
        <v>17.096001100000002</v>
      </c>
      <c r="G21" s="32">
        <f>Eggs!H13</f>
        <v>26.90142565</v>
      </c>
      <c r="H21" s="121">
        <f>Eggs!I13</f>
        <v>0.57355076737799204</v>
      </c>
      <c r="I21" s="32">
        <f>Eggs!J13</f>
        <v>16.62749333</v>
      </c>
      <c r="J21" s="121">
        <f>Eggs!K13</f>
        <v>0.61788822380480846</v>
      </c>
      <c r="K21" s="8" t="str">
        <f>Eggs!L13</f>
        <v>S&amp;P Global (2025)</v>
      </c>
      <c r="L21" s="8" t="str">
        <f>Eggs!M13</f>
        <v>S&amp;P Global (2025). Global Trade Atlas. https://connect.spglobal.com/gta/home/. Last accessed September 2025</v>
      </c>
    </row>
    <row r="22" spans="1:12" x14ac:dyDescent="0.3">
      <c r="A22" s="22" t="s">
        <v>26</v>
      </c>
      <c r="B22" s="6" t="s">
        <v>45</v>
      </c>
      <c r="C22" s="32">
        <f>Milk!D14</f>
        <v>1.0594188999999998</v>
      </c>
      <c r="D22" s="32">
        <f>Milk!E14</f>
        <v>0.74182711000000001</v>
      </c>
      <c r="E22" s="32">
        <f>Milk!F14</f>
        <v>1.9716918600000002</v>
      </c>
      <c r="F22" s="32">
        <f>Milk!G14</f>
        <v>7.2956019599999999</v>
      </c>
      <c r="G22" s="32">
        <f>Milk!H14</f>
        <v>8.1820784599999996</v>
      </c>
      <c r="H22" s="121">
        <f>Milk!I14</f>
        <v>0.12150834226707175</v>
      </c>
      <c r="I22" s="32">
        <f>Milk!J14</f>
        <v>3.8501236579999998</v>
      </c>
      <c r="J22" s="121">
        <f>Milk!K14</f>
        <v>1.1251469269042373</v>
      </c>
      <c r="K22" s="8" t="str">
        <f>Milk!L14</f>
        <v>S&amp;P Global (2025)</v>
      </c>
      <c r="L22" s="8" t="str">
        <f>Milk!M14</f>
        <v>S&amp;P Global (2025). Global Trade Atlas. https://connect.spglobal.com/gta/home/. Last accessed September 2025</v>
      </c>
    </row>
    <row r="23" spans="1:12" x14ac:dyDescent="0.3">
      <c r="A23" s="9" t="s">
        <v>290</v>
      </c>
      <c r="B23" s="9" t="s">
        <v>45</v>
      </c>
      <c r="C23" s="33">
        <f t="shared" ref="C23:G23" si="3">SUM(C24,C25)</f>
        <v>930.77361003999999</v>
      </c>
      <c r="D23" s="33">
        <f t="shared" si="3"/>
        <v>1090.70224248</v>
      </c>
      <c r="E23" s="33">
        <f t="shared" si="3"/>
        <v>1184.7761016699999</v>
      </c>
      <c r="F23" s="33">
        <f t="shared" si="3"/>
        <v>1086.3854873800001</v>
      </c>
      <c r="G23" s="33">
        <f t="shared" si="3"/>
        <v>1117.22210718</v>
      </c>
      <c r="H23" s="21">
        <f>IF(ISBLANK(G23),"N/A",IF(ISNA(G23/F23-1),"N/A",IF(ISERROR(G23/F23-1),"N/A",G23/F23-1)))</f>
        <v>2.8384602112430324E-2</v>
      </c>
      <c r="I23" s="31">
        <f>IF(ISBLANK(G23),"",IF(ISNA(AVERAGE(C23:G23)),"N/A",IF(ISERROR(AVERAGE(C23:G23)),"N/A",AVERAGE(C23:G23))))</f>
        <v>1081.9719097500001</v>
      </c>
      <c r="J23" s="21">
        <f>IF(ISBLANK(G23),"",IF(ISNA(G23/AVERAGE(C23:G23)-1),"N/A",IF(ISERROR(G23/AVERAGE(C23:G23)-1),"N/A",G23/AVERAGE(C23:G23)-1)))</f>
        <v>3.2579586505295355E-2</v>
      </c>
      <c r="K23" s="25"/>
      <c r="L23" s="25"/>
    </row>
    <row r="24" spans="1:12" x14ac:dyDescent="0.3">
      <c r="A24" s="22" t="s">
        <v>27</v>
      </c>
      <c r="B24" s="6" t="s">
        <v>45</v>
      </c>
      <c r="C24" s="32">
        <f>Forestry!D16</f>
        <v>114.95793574999999</v>
      </c>
      <c r="D24" s="32">
        <f>Forestry!E16</f>
        <v>233.99472201</v>
      </c>
      <c r="E24" s="32">
        <f>Forestry!F16</f>
        <v>177.14774927000002</v>
      </c>
      <c r="F24" s="32">
        <f>Forestry!G16</f>
        <v>147.51827825000001</v>
      </c>
      <c r="G24" s="32">
        <f>Forestry!H16</f>
        <v>144.44746132000003</v>
      </c>
      <c r="H24" s="121">
        <f>Forestry!I16</f>
        <v>-2.0816518240511561E-2</v>
      </c>
      <c r="I24" s="32">
        <f>Forestry!J16</f>
        <v>163.61322932000002</v>
      </c>
      <c r="J24" s="121">
        <f>Forestry!K16</f>
        <v>-0.11714069870545096</v>
      </c>
      <c r="K24" s="8" t="str">
        <f>Forestry!L16</f>
        <v>S&amp;P Global (2025)</v>
      </c>
      <c r="L24" s="8" t="str">
        <f>Forestry!M16</f>
        <v>S&amp;P Global (2025). Global Trade Atlas. https://connect.spglobal.com/gta/home/. Last accessed September 2025</v>
      </c>
    </row>
    <row r="25" spans="1:12" x14ac:dyDescent="0.3">
      <c r="A25" s="22" t="s">
        <v>28</v>
      </c>
      <c r="B25" s="6" t="s">
        <v>45</v>
      </c>
      <c r="C25" s="32">
        <f>Fisheries!D14</f>
        <v>815.81567428999995</v>
      </c>
      <c r="D25" s="32">
        <f>Fisheries!E14</f>
        <v>856.70752047000008</v>
      </c>
      <c r="E25" s="32">
        <f>Fisheries!F14</f>
        <v>1007.6283523999999</v>
      </c>
      <c r="F25" s="32">
        <f>Fisheries!G14</f>
        <v>938.86720913000011</v>
      </c>
      <c r="G25" s="32">
        <f>Fisheries!H14</f>
        <v>972.77464585999996</v>
      </c>
      <c r="H25" s="121">
        <f>Fisheries!I14</f>
        <v>3.6115263586018909E-2</v>
      </c>
      <c r="I25" s="32">
        <f>Fisheries!J14</f>
        <v>918.35868043000005</v>
      </c>
      <c r="J25" s="121">
        <f>Fisheries!K14</f>
        <v>5.9253499302169166E-2</v>
      </c>
      <c r="K25" s="8" t="str">
        <f>Fisheries!L14</f>
        <v>S&amp;P Global (2025)</v>
      </c>
      <c r="L25" s="8" t="str">
        <f>Fisheries!M14</f>
        <v>S&amp;P Global (2025). Global Trade Atlas. https://connect.spglobal.com/gta/home/. Last accessed September 2025</v>
      </c>
    </row>
    <row r="26" spans="1:12" x14ac:dyDescent="0.3">
      <c r="A26" s="9" t="s">
        <v>291</v>
      </c>
      <c r="B26" s="9" t="s">
        <v>45</v>
      </c>
      <c r="C26" s="33">
        <f>+C27-SUM(C2,C11,C14,C23)</f>
        <v>173.63159040999972</v>
      </c>
      <c r="D26" s="33">
        <f>+D27-SUM(D2,D11,D14,D23)</f>
        <v>199.08384580999973</v>
      </c>
      <c r="E26" s="33">
        <f>+E27-SUM(E2,E11,E14,E23)</f>
        <v>222.21349319999945</v>
      </c>
      <c r="F26" s="33">
        <f>+F27-SUM(F2,F11,F14,F23)</f>
        <v>231.89654119999932</v>
      </c>
      <c r="G26" s="33">
        <f>+G27-SUM(G2,G11,G14,G23)</f>
        <v>251.68022574999941</v>
      </c>
      <c r="H26" s="21">
        <f t="shared" ref="H26:H27" si="4">IF(ISBLANK(G26),"N/A",IF(ISNA(G26/F26-1),"N/A",IF(ISERROR(G26/F26-1),"N/A",G26/F26-1)))</f>
        <v>8.5312546912623688E-2</v>
      </c>
      <c r="I26" s="31">
        <f t="shared" ref="I26:I27" si="5">IF(ISBLANK(G26),"",IF(ISNA(AVERAGE(C26:G26)),"N/A",IF(ISERROR(AVERAGE(C26:G26)),"N/A",AVERAGE(C26:G26))))</f>
        <v>215.70113927399953</v>
      </c>
      <c r="J26" s="21">
        <f t="shared" ref="J26:J27" si="6">IF(ISBLANK(G26),"",IF(ISNA(G26/AVERAGE(C26:G26)-1),"N/A",IF(ISERROR(G26/AVERAGE(C26:G26)-1),"N/A",G26/AVERAGE(C26:G26)-1)))</f>
        <v>0.1668006325654896</v>
      </c>
      <c r="K26" s="25"/>
      <c r="L26" s="25"/>
    </row>
    <row r="27" spans="1:12" x14ac:dyDescent="0.3">
      <c r="A27" s="15" t="s">
        <v>297</v>
      </c>
      <c r="B27" s="9" t="s">
        <v>45</v>
      </c>
      <c r="C27" s="33">
        <v>2843.9373776999996</v>
      </c>
      <c r="D27" s="33">
        <v>2920.3636299299997</v>
      </c>
      <c r="E27" s="33">
        <v>3238.4876969799993</v>
      </c>
      <c r="F27" s="33">
        <v>3242.2679494799995</v>
      </c>
      <c r="G27" s="33">
        <v>3518.6813009199996</v>
      </c>
      <c r="H27" s="21">
        <f t="shared" si="4"/>
        <v>8.5253086958569035E-2</v>
      </c>
      <c r="I27" s="31">
        <f t="shared" si="5"/>
        <v>3152.7475910019994</v>
      </c>
      <c r="J27" s="21">
        <f t="shared" si="6"/>
        <v>0.11606819111126487</v>
      </c>
      <c r="K27" s="11"/>
      <c r="L27" s="11"/>
    </row>
    <row r="28" spans="1:12" x14ac:dyDescent="0.3">
      <c r="A28" s="26" t="s">
        <v>219</v>
      </c>
      <c r="B28" s="27"/>
      <c r="C28" s="27"/>
      <c r="D28" s="27"/>
      <c r="E28" s="27"/>
      <c r="F28" s="27"/>
      <c r="G28" s="27"/>
      <c r="H28" s="28"/>
      <c r="I28" s="28"/>
      <c r="J28" s="28"/>
      <c r="K28" s="13"/>
      <c r="L28" s="13"/>
    </row>
    <row r="29" spans="1:12" x14ac:dyDescent="0.3">
      <c r="A29" s="13" t="s">
        <v>293</v>
      </c>
      <c r="B29" s="13"/>
      <c r="C29" s="13"/>
      <c r="D29" s="13"/>
      <c r="E29" s="13"/>
      <c r="F29" s="13"/>
      <c r="G29" s="13"/>
      <c r="H29" s="29"/>
      <c r="I29" s="29"/>
      <c r="J29" s="29"/>
      <c r="K29" s="13"/>
      <c r="L29" s="13"/>
    </row>
    <row r="30" spans="1:12" x14ac:dyDescent="0.3">
      <c r="A30" s="13" t="s">
        <v>294</v>
      </c>
      <c r="B30" s="13"/>
      <c r="C30" s="13"/>
      <c r="D30" s="13"/>
      <c r="E30" s="13"/>
      <c r="F30" s="13"/>
      <c r="G30" s="13"/>
      <c r="H30" s="29"/>
      <c r="I30" s="29"/>
      <c r="J30" s="29"/>
      <c r="K30" s="13"/>
      <c r="L30" s="13"/>
    </row>
    <row r="31" spans="1:12" x14ac:dyDescent="0.3">
      <c r="A31" s="13" t="s">
        <v>298</v>
      </c>
      <c r="B31" s="13"/>
      <c r="C31" s="13"/>
      <c r="D31" s="13"/>
      <c r="E31" s="13"/>
      <c r="F31" s="13"/>
      <c r="G31" s="13"/>
      <c r="H31" s="29"/>
      <c r="I31" s="29"/>
      <c r="J31" s="29"/>
      <c r="K31" s="13"/>
      <c r="L31" s="13"/>
    </row>
    <row r="32" spans="1:12" x14ac:dyDescent="0.3">
      <c r="A32" s="13" t="s">
        <v>246</v>
      </c>
      <c r="B32" s="13"/>
      <c r="C32" s="13"/>
      <c r="D32" s="13"/>
      <c r="E32" s="13"/>
      <c r="F32" s="13"/>
      <c r="G32" s="13"/>
      <c r="H32" s="29"/>
      <c r="I32" s="29"/>
      <c r="J32" s="29"/>
      <c r="K32" s="13"/>
      <c r="L32" s="13"/>
    </row>
    <row r="33" spans="1:12" x14ac:dyDescent="0.3">
      <c r="A33" s="27"/>
      <c r="B33" s="27"/>
      <c r="C33" s="27"/>
      <c r="D33" s="27"/>
      <c r="E33" s="27"/>
      <c r="F33" s="27"/>
      <c r="G33" s="27"/>
      <c r="H33" s="28"/>
      <c r="I33" s="28"/>
      <c r="J33" s="28"/>
      <c r="K33" s="13"/>
      <c r="L33" s="13"/>
    </row>
    <row r="34" spans="1:12" ht="46.8" x14ac:dyDescent="0.3">
      <c r="A34" s="5" t="s">
        <v>299</v>
      </c>
      <c r="B34" s="5" t="s">
        <v>38</v>
      </c>
      <c r="C34" s="5" t="str">
        <f>+'Gross Value of Production'!C1</f>
        <v>2020-21</v>
      </c>
      <c r="D34" s="5" t="str">
        <f>+'Gross Value of Production'!D1</f>
        <v>2021-22e</v>
      </c>
      <c r="E34" s="5" t="str">
        <f>+'Gross Value of Production'!E1</f>
        <v>2022-23e</v>
      </c>
      <c r="F34" s="5" t="str">
        <f>+'Gross Value of Production'!F1</f>
        <v>2023-24e</v>
      </c>
      <c r="G34" s="5" t="str">
        <f>+'Gross Value of Production'!G1</f>
        <v>2024-25e</v>
      </c>
      <c r="H34" s="19" t="s">
        <v>39</v>
      </c>
      <c r="I34" s="19" t="s">
        <v>111</v>
      </c>
      <c r="J34" s="19" t="s">
        <v>41</v>
      </c>
      <c r="K34" s="9"/>
      <c r="L34" s="9"/>
    </row>
    <row r="35" spans="1:12" x14ac:dyDescent="0.3">
      <c r="A35" s="9" t="s">
        <v>200</v>
      </c>
      <c r="B35" s="9" t="s">
        <v>45</v>
      </c>
      <c r="C35" s="122">
        <f t="shared" ref="C35:G35" si="7">SUM(C36,C37,C38,C39,C40,C41,C42,C43)</f>
        <v>2393.9514806109655</v>
      </c>
      <c r="D35" s="122">
        <f t="shared" si="7"/>
        <v>9464.4154801900004</v>
      </c>
      <c r="E35" s="122">
        <f t="shared" si="7"/>
        <v>12983.884016210002</v>
      </c>
      <c r="F35" s="122">
        <f t="shared" si="7"/>
        <v>9770.7663788400005</v>
      </c>
      <c r="G35" s="122">
        <f t="shared" si="7"/>
        <v>10409.074696220001</v>
      </c>
      <c r="H35" s="147">
        <f>IF(ISBLANK(G35),"N/A",IF(ISNA(G35/F35-1),"N/A",IF(ISERROR(G35/F35-1),"N/A",G35/F35-1)))</f>
        <v>6.5328377798731241E-2</v>
      </c>
      <c r="I35" s="123">
        <f>IF(ISBLANK(G35),"",IF(ISNA(AVERAGE(C35:G35)),"N/A",IF(ISERROR(AVERAGE(C35:G35)),"N/A",AVERAGE(C35:G35))))</f>
        <v>9004.4184104141932</v>
      </c>
      <c r="J35" s="147">
        <f>IF(ISBLANK(G35),"",IF(ISNA(G35/AVERAGE(C35:G35)-1),"N/A",IF(ISERROR(G35/AVERAGE(C35:G35)-1),"N/A",G35/AVERAGE(C35:G35)-1)))</f>
        <v>0.15599633666303547</v>
      </c>
      <c r="K35" s="11"/>
      <c r="L35" s="11"/>
    </row>
    <row r="36" spans="1:12" x14ac:dyDescent="0.3">
      <c r="A36" s="22" t="s">
        <v>9</v>
      </c>
      <c r="B36" s="6" t="s">
        <v>45</v>
      </c>
      <c r="C36" s="124">
        <f>Wheat!D13</f>
        <v>1341.55225359</v>
      </c>
      <c r="D36" s="124">
        <f>Wheat!E13</f>
        <v>2921.4484412900001</v>
      </c>
      <c r="E36" s="124">
        <f>Wheat!F13</f>
        <v>3292.6468213499998</v>
      </c>
      <c r="F36" s="124">
        <f>Wheat!G13</f>
        <v>1104.4086251900001</v>
      </c>
      <c r="G36" s="124">
        <f>Wheat!H13</f>
        <v>1910.12683247</v>
      </c>
      <c r="H36" s="132">
        <f>Wheat!I13</f>
        <v>0.72954718833473975</v>
      </c>
      <c r="I36" s="124">
        <f>Wheat!J13</f>
        <v>2114.0365947780001</v>
      </c>
      <c r="J36" s="132">
        <f>Wheat!K13</f>
        <v>-9.6455171500667958E-2</v>
      </c>
      <c r="K36" s="8" t="str">
        <f>Wheat!L13</f>
        <v>S&amp;P Global (2025)</v>
      </c>
      <c r="L36" s="8" t="str">
        <f>Wheat!M13</f>
        <v>S&amp;P Global (2025). Global Trade Atlas. https://connect.spglobal.com/gta/home/. Last accessed September 2025</v>
      </c>
    </row>
    <row r="37" spans="1:12" x14ac:dyDescent="0.3">
      <c r="A37" s="22" t="s">
        <v>285</v>
      </c>
      <c r="B37" s="6" t="s">
        <v>45</v>
      </c>
      <c r="C37" s="124">
        <f>Barley!D13</f>
        <v>48.850609460000001</v>
      </c>
      <c r="D37" s="124">
        <f>Barley!E19</f>
        <v>2976.65202039</v>
      </c>
      <c r="E37" s="124">
        <f>Barley!F19</f>
        <v>3331.6119359899999</v>
      </c>
      <c r="F37" s="124">
        <f>Barley!G19</f>
        <v>3317.26322764</v>
      </c>
      <c r="G37" s="124">
        <f>Barley!H19</f>
        <v>2972.4888233799998</v>
      </c>
      <c r="H37" s="132">
        <f>Barley!I19</f>
        <v>-0.10393338743434088</v>
      </c>
      <c r="I37" s="124">
        <f>Barley!J19</f>
        <v>2901.565605062</v>
      </c>
      <c r="J37" s="132">
        <f>Barley!K19</f>
        <v>2.4443086240844902E-2</v>
      </c>
      <c r="K37" s="8" t="str">
        <f>Barley!L19</f>
        <v>S&amp;P Global (2025)</v>
      </c>
      <c r="L37" s="8" t="str">
        <f>Barley!M19</f>
        <v>S&amp;P Global (2025). Global Trade Atlas. https://connect.spglobal.com/gta/home/. Last accessed September 2025</v>
      </c>
    </row>
    <row r="38" spans="1:12" x14ac:dyDescent="0.3">
      <c r="A38" s="22" t="s">
        <v>11</v>
      </c>
      <c r="B38" s="6" t="s">
        <v>45</v>
      </c>
      <c r="C38" s="124">
        <f>Rice!D12</f>
        <v>-99.275716980000013</v>
      </c>
      <c r="D38" s="124">
        <f>Rice!E18</f>
        <v>-57.037491370000026</v>
      </c>
      <c r="E38" s="124">
        <f>Rice!F18</f>
        <v>82.348920640000017</v>
      </c>
      <c r="F38" s="124">
        <f>Rice!G18</f>
        <v>-28.414640359999964</v>
      </c>
      <c r="G38" s="124">
        <f>Rice!H18</f>
        <v>-53.318126350000057</v>
      </c>
      <c r="H38" s="132">
        <f>Rice!I18</f>
        <v>0.87643150412902582</v>
      </c>
      <c r="I38" s="124">
        <f>Rice!J18</f>
        <v>-63.228865354000007</v>
      </c>
      <c r="J38" s="132">
        <f>Rice!K18</f>
        <v>-0.15674390088312684</v>
      </c>
      <c r="K38" s="8" t="str">
        <f>Rice!L18</f>
        <v>S&amp;P Global (2025)</v>
      </c>
      <c r="L38" s="8" t="str">
        <f>Rice!M18</f>
        <v>S&amp;P Global (2025). Global Trade Atlas. https://connect.spglobal.com/gta/home/. Last accessed September 2025</v>
      </c>
    </row>
    <row r="39" spans="1:12" x14ac:dyDescent="0.3">
      <c r="A39" s="22" t="s">
        <v>201</v>
      </c>
      <c r="B39" s="6" t="s">
        <v>45</v>
      </c>
      <c r="C39" s="124">
        <f>'Coarse Grains'!D14</f>
        <v>68.766856000000004</v>
      </c>
      <c r="D39" s="124">
        <f>'Coarse Grains'!E14</f>
        <v>230.96866209000001</v>
      </c>
      <c r="E39" s="124">
        <f>'Coarse Grains'!F14</f>
        <v>408.91683031999997</v>
      </c>
      <c r="F39" s="124">
        <f>'Coarse Grains'!G14</f>
        <v>184.140308</v>
      </c>
      <c r="G39" s="124">
        <f>'Coarse Grains'!H14</f>
        <v>320.15945009000001</v>
      </c>
      <c r="H39" s="132">
        <f>'Coarse Grains'!I14</f>
        <v>0.73867119897507716</v>
      </c>
      <c r="I39" s="124">
        <f>'Coarse Grains'!J14</f>
        <v>242.59042130000003</v>
      </c>
      <c r="J39" s="132">
        <f>'Coarse Grains'!K14</f>
        <v>0.31975305691923439</v>
      </c>
      <c r="K39" s="8" t="str">
        <f>'Coarse Grains'!L14</f>
        <v>S&amp;P Global (2025)</v>
      </c>
      <c r="L39" s="8" t="str">
        <f>'Coarse Grains'!M14</f>
        <v>S&amp;P Global (2025). Global Trade Atlas. https://connect.spglobal.com/gta/home/. Last accessed September 2025</v>
      </c>
    </row>
    <row r="40" spans="1:12" x14ac:dyDescent="0.3">
      <c r="A40" s="22" t="s">
        <v>13</v>
      </c>
      <c r="B40" s="6" t="s">
        <v>45</v>
      </c>
      <c r="C40" s="124">
        <f>Pulses!D13</f>
        <v>199.57834002999999</v>
      </c>
      <c r="D40" s="124">
        <f>Pulses!E13</f>
        <v>174.56979317999998</v>
      </c>
      <c r="E40" s="124">
        <f>Pulses!F13</f>
        <v>125.0121218</v>
      </c>
      <c r="F40" s="124">
        <f>Pulses!G13</f>
        <v>142.37382122</v>
      </c>
      <c r="G40" s="124">
        <f>Pulses!H13</f>
        <v>827.18327482000007</v>
      </c>
      <c r="H40" s="132">
        <f>Pulses!I13</f>
        <v>4.8099394097304824</v>
      </c>
      <c r="I40" s="124">
        <f>Pulses!J13</f>
        <v>293.74347021000005</v>
      </c>
      <c r="J40" s="132">
        <f>Pulses!K13</f>
        <v>1.8160056604105574</v>
      </c>
      <c r="K40" s="8" t="str">
        <f>Pulses!L13</f>
        <v>S&amp;P Global (2025)</v>
      </c>
      <c r="L40" s="8" t="str">
        <f>Pulses!M13</f>
        <v>S&amp;P Global (2025). Global Trade Atlas. https://connect.spglobal.com/gta/home/. Last accessed September 2025</v>
      </c>
    </row>
    <row r="41" spans="1:12" x14ac:dyDescent="0.3">
      <c r="A41" s="22" t="s">
        <v>14</v>
      </c>
      <c r="B41" s="6" t="s">
        <v>45</v>
      </c>
      <c r="C41" s="124">
        <f>Oilseeds!D14</f>
        <v>437.07406082</v>
      </c>
      <c r="D41" s="124">
        <f>Oilseeds!E14</f>
        <v>989.19961818000002</v>
      </c>
      <c r="E41" s="124">
        <f>Oilseeds!F14</f>
        <v>842.71621518999996</v>
      </c>
      <c r="F41" s="124">
        <f>Oilseeds!G14</f>
        <v>905.14058538999996</v>
      </c>
      <c r="G41" s="124">
        <f>Oilseeds!H14</f>
        <v>994.63102708999998</v>
      </c>
      <c r="H41" s="132">
        <f>Oilseeds!I14</f>
        <v>9.8869107345839646E-2</v>
      </c>
      <c r="I41" s="124">
        <f>Oilseeds!J14</f>
        <v>833.75230133399998</v>
      </c>
      <c r="J41" s="132">
        <f>Oilseeds!K14</f>
        <v>0.192957459306073</v>
      </c>
      <c r="K41" s="8" t="str">
        <f>Oilseeds!L14</f>
        <v>S&amp;P Global (2025)</v>
      </c>
      <c r="L41" s="8" t="str">
        <f>Oilseeds!M14</f>
        <v>S&amp;P Global (2025). Global Trade Atlas. https://connect.spglobal.com/gta/home/. Last accessed September 2025</v>
      </c>
    </row>
    <row r="42" spans="1:12" x14ac:dyDescent="0.3">
      <c r="A42" s="22" t="s">
        <v>286</v>
      </c>
      <c r="B42" s="6" t="s">
        <v>45</v>
      </c>
      <c r="C42" s="124">
        <f>'Cotton Lint'!D13</f>
        <v>399.01384992096575</v>
      </c>
      <c r="D42" s="124">
        <f>'Cotton Lint'!E19</f>
        <v>2229.0890959100002</v>
      </c>
      <c r="E42" s="124">
        <f>'Cotton Lint'!F19</f>
        <v>4901.3851952100003</v>
      </c>
      <c r="F42" s="124">
        <f>'Cotton Lint'!G19</f>
        <v>4145.8765994599999</v>
      </c>
      <c r="G42" s="124">
        <f>'Cotton Lint'!H19</f>
        <v>3439.2072688799999</v>
      </c>
      <c r="H42" s="132">
        <f>'Cotton Lint'!I19</f>
        <v>-0.17045112502191784</v>
      </c>
      <c r="I42" s="124">
        <f>'Cotton Lint'!J19</f>
        <v>3068.9259331359999</v>
      </c>
      <c r="J42" s="132">
        <f>'Cotton Lint'!K19</f>
        <v>0.12065502518192939</v>
      </c>
      <c r="K42" s="8" t="str">
        <f>'Cotton Lint'!L19</f>
        <v>S&amp;P Global (2025)</v>
      </c>
      <c r="L42" s="8" t="str">
        <f>'Cotton Lint'!M19</f>
        <v>S&amp;P Global (2025). Global Trade Atlas. https://connect.spglobal.com/gta/home/. Last accessed September 2025</v>
      </c>
    </row>
    <row r="43" spans="1:12" x14ac:dyDescent="0.3">
      <c r="A43" s="22" t="s">
        <v>202</v>
      </c>
      <c r="B43" s="6" t="s">
        <v>45</v>
      </c>
      <c r="C43" s="124">
        <f>Sugarcane!D14</f>
        <v>-1.6087722300000002</v>
      </c>
      <c r="D43" s="124">
        <f>Sugarcane!E14</f>
        <v>-0.47465948000000013</v>
      </c>
      <c r="E43" s="124">
        <f>Sugarcane!F14</f>
        <v>-0.75402428999999982</v>
      </c>
      <c r="F43" s="124">
        <f>Sugarcane!G14</f>
        <v>-2.2147700000000548E-2</v>
      </c>
      <c r="G43" s="124">
        <f>Sugarcane!H14</f>
        <v>-1.4038541600000007</v>
      </c>
      <c r="H43" s="132">
        <f>Sugarcane!I14</f>
        <v>62.386002158236117</v>
      </c>
      <c r="I43" s="124">
        <f>Sugarcane!J14</f>
        <v>-0.85269157200000012</v>
      </c>
      <c r="J43" s="132">
        <f>Sugarcane!K14</f>
        <v>0.64637977681336878</v>
      </c>
      <c r="K43" s="8" t="str">
        <f>Sugarcane!L14</f>
        <v>S&amp;P Global (2025)</v>
      </c>
      <c r="L43" s="8" t="str">
        <f>Sugarcane!M14</f>
        <v>S&amp;P Global (2025). Global Trade Atlas. https://connect.spglobal.com/gta/home/. Last accessed September 2025</v>
      </c>
    </row>
    <row r="44" spans="1:12" x14ac:dyDescent="0.3">
      <c r="A44" s="9" t="s">
        <v>287</v>
      </c>
      <c r="B44" s="9" t="s">
        <v>45</v>
      </c>
      <c r="C44" s="125">
        <f t="shared" ref="C44:G44" si="8">SUM(C45)</f>
        <v>-1024.8350677199999</v>
      </c>
      <c r="D44" s="125">
        <f t="shared" si="8"/>
        <v>-933.64368297000033</v>
      </c>
      <c r="E44" s="125">
        <f t="shared" si="8"/>
        <v>-1097.88513865</v>
      </c>
      <c r="F44" s="125">
        <f t="shared" si="8"/>
        <v>-1086.3403261900003</v>
      </c>
      <c r="G44" s="125">
        <f t="shared" si="8"/>
        <v>-1161.75052798</v>
      </c>
      <c r="H44" s="147">
        <f>IF(ISBLANK(G44),"N/A",IF(ISNA(G44/F44-1),"N/A",IF(ISERROR(G44/F44-1),"N/A",G44/F44-1)))</f>
        <v>6.9416737988984956E-2</v>
      </c>
      <c r="I44" s="123">
        <f>IF(ISBLANK(G44),"",IF(ISNA(AVERAGE(C44:G44)),"N/A",IF(ISERROR(AVERAGE(C44:G44)),"N/A",AVERAGE(C44:G44))))</f>
        <v>-1060.8909487020001</v>
      </c>
      <c r="J44" s="147">
        <f>IF(ISBLANK(G44),"",IF(ISNA(G44/AVERAGE(C44:G44)-1),"N/A",IF(ISERROR(G44/AVERAGE(C44:G44)-1),"N/A",G44/AVERAGE(C44:G44)-1)))</f>
        <v>9.5070637940121605E-2</v>
      </c>
      <c r="K44" s="25"/>
      <c r="L44" s="25"/>
    </row>
    <row r="45" spans="1:12" x14ac:dyDescent="0.3">
      <c r="A45" s="22" t="s">
        <v>17</v>
      </c>
      <c r="B45" s="6" t="s">
        <v>45</v>
      </c>
      <c r="C45" s="124">
        <f>Horticulture!D19</f>
        <v>-1024.8350677199999</v>
      </c>
      <c r="D45" s="124">
        <f>Horticulture!E19</f>
        <v>-933.64368297000033</v>
      </c>
      <c r="E45" s="124">
        <f>Horticulture!F19</f>
        <v>-1097.88513865</v>
      </c>
      <c r="F45" s="124">
        <f>Horticulture!G19</f>
        <v>-1086.3403261900003</v>
      </c>
      <c r="G45" s="124">
        <f>Horticulture!H19</f>
        <v>-1161.75052798</v>
      </c>
      <c r="H45" s="132">
        <f>Horticulture!I19</f>
        <v>6.9416737988984956E-2</v>
      </c>
      <c r="I45" s="124">
        <f>Horticulture!J19</f>
        <v>-1060.8909487020001</v>
      </c>
      <c r="J45" s="132">
        <f>Horticulture!K19</f>
        <v>9.5070637940121605E-2</v>
      </c>
      <c r="K45" s="8" t="str">
        <f>Horticulture!L19</f>
        <v>S&amp;P Global (2025)</v>
      </c>
      <c r="L45" s="8" t="str">
        <f>Horticulture!M19</f>
        <v>S&amp;P Global (2025). Global Trade Atlas. https://connect.spglobal.com/gta/home/. Last accessed September 2025</v>
      </c>
    </row>
    <row r="46" spans="1:12" x14ac:dyDescent="0.3">
      <c r="A46" s="22" t="s">
        <v>296</v>
      </c>
      <c r="B46" s="6" t="s">
        <v>45</v>
      </c>
      <c r="C46" s="124">
        <f>Wine!D13</f>
        <v>277.9171381000001</v>
      </c>
      <c r="D46" s="124">
        <f>Wine!E13</f>
        <v>171.70004953</v>
      </c>
      <c r="E46" s="124">
        <f>Wine!F13</f>
        <v>98.928908919999969</v>
      </c>
      <c r="F46" s="124">
        <f>Wine!G13</f>
        <v>152.20299677999998</v>
      </c>
      <c r="G46" s="124">
        <f>Wine!H13</f>
        <v>193.17029191999995</v>
      </c>
      <c r="H46" s="132">
        <f>Wine!I13</f>
        <v>0.2691622110385623</v>
      </c>
      <c r="I46" s="124">
        <f>Wine!J13</f>
        <v>178.78387705</v>
      </c>
      <c r="J46" s="132">
        <f>Wine!K13</f>
        <v>8.0468189343363195E-2</v>
      </c>
      <c r="K46" s="8" t="str">
        <f>Wine!L13</f>
        <v>S&amp;P Global (2025)</v>
      </c>
      <c r="L46" s="8" t="str">
        <f>Wine!M13</f>
        <v>S&amp;P Global (2025). Global Trade Atlas. https://connect.spglobal.com/gta/home/. Last accessed September 2025</v>
      </c>
    </row>
    <row r="47" spans="1:12" x14ac:dyDescent="0.3">
      <c r="A47" s="15" t="s">
        <v>208</v>
      </c>
      <c r="B47" s="9" t="s">
        <v>45</v>
      </c>
      <c r="C47" s="125">
        <f t="shared" ref="C47:G47" si="9">SUM(C48,C49,C51,C52,C53,C54,C55)</f>
        <v>2931.5428483400001</v>
      </c>
      <c r="D47" s="125">
        <f t="shared" si="9"/>
        <v>3784.1644012699994</v>
      </c>
      <c r="E47" s="125">
        <f t="shared" si="9"/>
        <v>3753.3755291900002</v>
      </c>
      <c r="F47" s="125">
        <f t="shared" si="9"/>
        <v>3888.6943970399998</v>
      </c>
      <c r="G47" s="125">
        <f t="shared" si="9"/>
        <v>4406.8089520900003</v>
      </c>
      <c r="H47" s="147">
        <f>IF(ISBLANK(G47),"N/A",IF(ISNA(G47/F47-1),"N/A",IF(ISERROR(G47/F47-1),"N/A",G47/F47-1)))</f>
        <v>0.13323612044298971</v>
      </c>
      <c r="I47" s="123">
        <f>IF(ISBLANK(G47),"",IF(ISNA(AVERAGE(C47:G47)),"N/A",IF(ISERROR(AVERAGE(C47:G47)),"N/A",AVERAGE(C47:G47))))</f>
        <v>3752.9172255859994</v>
      </c>
      <c r="J47" s="147">
        <f>IF(ISBLANK(G47),"",IF(ISNA(G47/AVERAGE(C47:G47)-1),"N/A",IF(ISERROR(G47/AVERAGE(C47:G47)-1),"N/A",G47/AVERAGE(C47:G47)-1)))</f>
        <v>0.17423558453301591</v>
      </c>
      <c r="K47" s="25"/>
      <c r="L47" s="25"/>
    </row>
    <row r="48" spans="1:12" x14ac:dyDescent="0.3">
      <c r="A48" s="22" t="s">
        <v>209</v>
      </c>
      <c r="B48" s="6" t="s">
        <v>45</v>
      </c>
      <c r="C48" s="124">
        <f>Beef!D19</f>
        <v>1527.2759038499998</v>
      </c>
      <c r="D48" s="124">
        <f>Beef!E19</f>
        <v>1905.1743850999999</v>
      </c>
      <c r="E48" s="124">
        <f>Beef!F19</f>
        <v>1871.3120338200001</v>
      </c>
      <c r="F48" s="124">
        <f>Beef!G19</f>
        <v>2235.8452859099998</v>
      </c>
      <c r="G48" s="124">
        <f>Beef!H19</f>
        <v>2762.6080211200001</v>
      </c>
      <c r="H48" s="132">
        <f>Beef!I19</f>
        <v>0.23559892025158868</v>
      </c>
      <c r="I48" s="124">
        <f>Beef!J19</f>
        <v>2060.4431259600001</v>
      </c>
      <c r="J48" s="132">
        <f>Beef!K19</f>
        <v>0.3407834394035254</v>
      </c>
      <c r="K48" s="8" t="str">
        <f>Beef!L19</f>
        <v>S&amp;P Global (2025)</v>
      </c>
      <c r="L48" s="8" t="str">
        <f>Beef!M19</f>
        <v>S&amp;P Global (2025). Global Trade Atlas. https://connect.spglobal.com/gta/home/. Last accessed September 2025</v>
      </c>
    </row>
    <row r="49" spans="1:12" x14ac:dyDescent="0.3">
      <c r="A49" s="22" t="s">
        <v>210</v>
      </c>
      <c r="B49" s="6" t="s">
        <v>45</v>
      </c>
      <c r="C49" s="124">
        <f>'Sheep Meat'!D16</f>
        <v>1048.2621236500001</v>
      </c>
      <c r="D49" s="124">
        <f>'Sheep Meat'!E16</f>
        <v>1349.74050672</v>
      </c>
      <c r="E49" s="124">
        <f>'Sheep Meat'!F16</f>
        <v>1324.1999097300002</v>
      </c>
      <c r="F49" s="124">
        <f>'Sheep Meat'!G16</f>
        <v>1212.3836950999998</v>
      </c>
      <c r="G49" s="124">
        <f>'Sheep Meat'!H16</f>
        <v>1420.0367456400002</v>
      </c>
      <c r="H49" s="132">
        <f>'Sheep Meat'!I16</f>
        <v>0.17127667699529114</v>
      </c>
      <c r="I49" s="124">
        <f>'Sheep Meat'!J16</f>
        <v>1270.9245961680001</v>
      </c>
      <c r="J49" s="132">
        <f>'Sheep Meat'!K16</f>
        <v>0.11732572484755766</v>
      </c>
      <c r="K49" s="8" t="str">
        <f>'Sheep Meat'!L16</f>
        <v>S&amp;P Global (2025)</v>
      </c>
      <c r="L49" s="8" t="str">
        <f>'Sheep Meat'!M16</f>
        <v>S&amp;P Global (2025). Global Trade Atlas. https://connect.spglobal.com/gta/home/. Last accessed September 2025</v>
      </c>
    </row>
    <row r="50" spans="1:12" x14ac:dyDescent="0.3">
      <c r="A50" s="22" t="s">
        <v>289</v>
      </c>
      <c r="B50" s="6" t="s">
        <v>45</v>
      </c>
      <c r="C50" s="124">
        <f>+'Goat Meat'!D11</f>
        <v>3.1523319999999999</v>
      </c>
      <c r="D50" s="124">
        <f>+'Goat Meat'!E11</f>
        <v>5.0812470000000003</v>
      </c>
      <c r="E50" s="124">
        <f>+'Goat Meat'!F11</f>
        <v>11.009693</v>
      </c>
      <c r="F50" s="124">
        <f>+'Goat Meat'!G11</f>
        <v>64.624077</v>
      </c>
      <c r="G50" s="124">
        <f>+'Goat Meat'!H11</f>
        <v>63.867736000000001</v>
      </c>
      <c r="H50" s="132">
        <f>+'Goat Meat'!I11</f>
        <v>-1.1703702940314309E-2</v>
      </c>
      <c r="I50" s="124">
        <f>+'Goat Meat'!J11</f>
        <v>29.547017</v>
      </c>
      <c r="J50" s="132">
        <f>+'Goat Meat'!K11</f>
        <v>1.1615629083639814</v>
      </c>
      <c r="K50" s="8" t="str">
        <f>+'Goat Meat'!L11</f>
        <v>S&amp;P Global (2025)</v>
      </c>
      <c r="L50" s="8" t="str">
        <f>+'Goat Meat'!M11</f>
        <v>S&amp;P Global (2025). Global Trade Atlas. https://connect.spglobal.com/gta/home/. Last accessed September 2025</v>
      </c>
    </row>
    <row r="51" spans="1:12" x14ac:dyDescent="0.3">
      <c r="A51" s="22" t="s">
        <v>22</v>
      </c>
      <c r="B51" s="6" t="s">
        <v>45</v>
      </c>
      <c r="C51" s="124">
        <f>Pork!D12</f>
        <v>-152.96952295</v>
      </c>
      <c r="D51" s="124">
        <f>Pork!E12</f>
        <v>-199.37083668</v>
      </c>
      <c r="E51" s="124">
        <f>Pork!F12</f>
        <v>-214.97177713999997</v>
      </c>
      <c r="F51" s="124">
        <f>Pork!G12</f>
        <v>-233.08050705000002</v>
      </c>
      <c r="G51" s="124">
        <f>Pork!H12</f>
        <v>-272.89973473999999</v>
      </c>
      <c r="H51" s="132">
        <f>Pork!I12</f>
        <v>0.17083894399396526</v>
      </c>
      <c r="I51" s="124">
        <f>Pork!J12</f>
        <v>-214.65847571200001</v>
      </c>
      <c r="J51" s="132">
        <f>Pork!K12</f>
        <v>0.27132056553937467</v>
      </c>
      <c r="K51" s="8" t="str">
        <f>Pork!L12</f>
        <v>S&amp;P Global (2025)</v>
      </c>
      <c r="L51" s="8" t="str">
        <f>Pork!M12</f>
        <v>S&amp;P Global (2025). Global Trade Atlas. https://connect.spglobal.com/gta/home/. Last accessed September 2025</v>
      </c>
    </row>
    <row r="52" spans="1:12" x14ac:dyDescent="0.3">
      <c r="A52" s="22" t="s">
        <v>23</v>
      </c>
      <c r="B52" s="6" t="s">
        <v>45</v>
      </c>
      <c r="C52" s="124">
        <f>Poultry!D12</f>
        <v>12.263624</v>
      </c>
      <c r="D52" s="124">
        <f>Poultry!E12</f>
        <v>19.408910219999999</v>
      </c>
      <c r="E52" s="124">
        <f>Poultry!F12</f>
        <v>24.693708399999998</v>
      </c>
      <c r="F52" s="124">
        <f>Poultry!G12</f>
        <v>20.911812959999999</v>
      </c>
      <c r="G52" s="124">
        <f>Poultry!H12</f>
        <v>14.459725000000001</v>
      </c>
      <c r="H52" s="132">
        <f>Poultry!I12</f>
        <v>-0.30853795279928697</v>
      </c>
      <c r="I52" s="124">
        <f>Poultry!J12</f>
        <v>18.347556116</v>
      </c>
      <c r="J52" s="132">
        <f>Poultry!K12</f>
        <v>-0.21189912658774279</v>
      </c>
      <c r="K52" s="8" t="str">
        <f>Poultry!L12</f>
        <v>S&amp;P Global (2025)</v>
      </c>
      <c r="L52" s="8" t="str">
        <f>Poultry!M12</f>
        <v>S&amp;P Global (2025). Global Trade Atlas. https://connect.spglobal.com/gta/home/. Last accessed September 2025</v>
      </c>
    </row>
    <row r="53" spans="1:12" x14ac:dyDescent="0.3">
      <c r="A53" s="22" t="s">
        <v>24</v>
      </c>
      <c r="B53" s="6" t="s">
        <v>45</v>
      </c>
      <c r="C53" s="124">
        <f>Wool!D15</f>
        <v>465.96460682999998</v>
      </c>
      <c r="D53" s="124">
        <f>Wool!E15</f>
        <v>706.06563179</v>
      </c>
      <c r="E53" s="124">
        <f>Wool!F15</f>
        <v>755.23669523000001</v>
      </c>
      <c r="F53" s="124">
        <f>Wool!G15</f>
        <v>661.79430018000005</v>
      </c>
      <c r="G53" s="124">
        <f>Wool!H15</f>
        <v>495.42826817999998</v>
      </c>
      <c r="H53" s="132">
        <f>Wool!I15</f>
        <v>-0.25138631740217543</v>
      </c>
      <c r="I53" s="124">
        <f>Wool!J15</f>
        <v>616.89790044200004</v>
      </c>
      <c r="J53" s="132">
        <f>Wool!K15</f>
        <v>-0.19690394824649027</v>
      </c>
      <c r="K53" s="8" t="str">
        <f>Wool!L15</f>
        <v>S&amp;P Global (2025)</v>
      </c>
      <c r="L53" s="8" t="str">
        <f>Wool!M15</f>
        <v>S&amp;P Global (2025). Global Trade Atlas. https://connect.spglobal.com/gta/home/. Last accessed September 2025</v>
      </c>
    </row>
    <row r="54" spans="1:12" x14ac:dyDescent="0.3">
      <c r="A54" s="22" t="s">
        <v>25</v>
      </c>
      <c r="B54" s="6" t="s">
        <v>45</v>
      </c>
      <c r="C54" s="124">
        <f>Eggs!D14</f>
        <v>-6.1970111400000008</v>
      </c>
      <c r="D54" s="124">
        <f>Eggs!E14</f>
        <v>-8.3957017699999987</v>
      </c>
      <c r="E54" s="124">
        <f>Eggs!F14</f>
        <v>-20.523393990000002</v>
      </c>
      <c r="F54" s="124">
        <f>Eggs!G14</f>
        <v>-15.797418100000002</v>
      </c>
      <c r="G54" s="124">
        <f>Eggs!H14</f>
        <v>-25.555901649999999</v>
      </c>
      <c r="H54" s="132">
        <f>Eggs!I14</f>
        <v>0.61772648468422808</v>
      </c>
      <c r="I54" s="124">
        <f>Eggs!J14</f>
        <v>-15.29388533</v>
      </c>
      <c r="J54" s="132">
        <f>Eggs!K14</f>
        <v>0.67098818243852998</v>
      </c>
      <c r="K54" s="8" t="str">
        <f>Eggs!L14</f>
        <v>S&amp;P Global (2025)</v>
      </c>
      <c r="L54" s="8" t="str">
        <f>Eggs!M14</f>
        <v>S&amp;P Global (2025). Global Trade Atlas. https://connect.spglobal.com/gta/home/. Last accessed September 2025</v>
      </c>
    </row>
    <row r="55" spans="1:12" x14ac:dyDescent="0.3">
      <c r="A55" s="22" t="s">
        <v>26</v>
      </c>
      <c r="B55" s="6" t="s">
        <v>45</v>
      </c>
      <c r="C55" s="124">
        <f>Milk!D15</f>
        <v>36.943124100000006</v>
      </c>
      <c r="D55" s="124">
        <f>Milk!E15</f>
        <v>11.54150589</v>
      </c>
      <c r="E55" s="124">
        <f>Milk!F15</f>
        <v>13.42835314</v>
      </c>
      <c r="F55" s="124">
        <f>Milk!G15</f>
        <v>6.6372280399999992</v>
      </c>
      <c r="G55" s="124">
        <f>Milk!H15</f>
        <v>12.731828539999999</v>
      </c>
      <c r="H55" s="132">
        <f>Milk!I15</f>
        <v>0.91824485512177767</v>
      </c>
      <c r="I55" s="124">
        <f>Milk!J15</f>
        <v>16.256407941999999</v>
      </c>
      <c r="J55" s="132">
        <f>Milk!K15</f>
        <v>-0.21681169755182561</v>
      </c>
      <c r="K55" s="8" t="str">
        <f>Milk!L15</f>
        <v>S&amp;P Global (2025)</v>
      </c>
      <c r="L55" s="8" t="str">
        <f>Milk!M15</f>
        <v>S&amp;P Global (2025). Global Trade Atlas. https://connect.spglobal.com/gta/home/. Last accessed September 2025</v>
      </c>
    </row>
    <row r="56" spans="1:12" x14ac:dyDescent="0.3">
      <c r="A56" s="9" t="s">
        <v>290</v>
      </c>
      <c r="B56" s="9" t="s">
        <v>45</v>
      </c>
      <c r="C56" s="125">
        <f t="shared" ref="C56:G56" si="10">SUM(C57,C58)</f>
        <v>-787.15150003999997</v>
      </c>
      <c r="D56" s="125">
        <f t="shared" si="10"/>
        <v>-996.81513548000009</v>
      </c>
      <c r="E56" s="125">
        <f t="shared" si="10"/>
        <v>-1087.6475096700001</v>
      </c>
      <c r="F56" s="125">
        <f t="shared" si="10"/>
        <v>-995.88568938000014</v>
      </c>
      <c r="G56" s="125">
        <f t="shared" si="10"/>
        <v>-1023.34404018</v>
      </c>
      <c r="H56" s="147">
        <f t="shared" ref="H56:H60" si="11">IF(ISBLANK(F56),"N/A",IF(ISNA(F56/E56-1),"N/A",IF(ISERROR(F56/E56-1),"N/A",F56/E56-1)))</f>
        <v>-8.4367241660711523E-2</v>
      </c>
      <c r="I56" s="123"/>
      <c r="J56" s="147">
        <f t="shared" ref="J56:J60" si="12">IF(ISBLANK(F56),"",IF(ISNA(F56/AVERAGE(C56:F56)-1),"N/A",IF(ISERROR(F56/AVERAGE(C56:F56)-1),"N/A",F56/AVERAGE(C56:F56)-1)))</f>
        <v>3.0004635530359813E-2</v>
      </c>
      <c r="K56" s="25"/>
      <c r="L56" s="25"/>
    </row>
    <row r="57" spans="1:12" x14ac:dyDescent="0.3">
      <c r="A57" s="22" t="s">
        <v>27</v>
      </c>
      <c r="B57" s="6" t="s">
        <v>45</v>
      </c>
      <c r="C57" s="124">
        <f>Forestry!D17</f>
        <v>-0.2674217499999969</v>
      </c>
      <c r="D57" s="124">
        <f>Forestry!E17</f>
        <v>-176.32584101</v>
      </c>
      <c r="E57" s="124">
        <f>Forestry!F17</f>
        <v>-142.48747227000001</v>
      </c>
      <c r="F57" s="124">
        <f>Forestry!G17</f>
        <v>-103.59710625000001</v>
      </c>
      <c r="G57" s="124">
        <f>Forestry!H17</f>
        <v>-102.40560332000004</v>
      </c>
      <c r="H57" s="132">
        <f>Forestry!I17</f>
        <v>-1.1501314786965589E-2</v>
      </c>
      <c r="I57" s="124">
        <f>Forestry!J17</f>
        <v>-105.01668892000002</v>
      </c>
      <c r="J57" s="132">
        <f>Forestry!K17</f>
        <v>-2.4863530043201632E-2</v>
      </c>
      <c r="K57" s="8" t="str">
        <f>Forestry!L17</f>
        <v>S&amp;P Global (2025)</v>
      </c>
      <c r="L57" s="8" t="str">
        <f>Forestry!M17</f>
        <v>S&amp;P Global (2025). Global Trade Atlas. https://connect.spglobal.com/gta/home/. Last accessed September 2025</v>
      </c>
    </row>
    <row r="58" spans="1:12" x14ac:dyDescent="0.3">
      <c r="A58" s="22" t="s">
        <v>28</v>
      </c>
      <c r="B58" s="6" t="s">
        <v>45</v>
      </c>
      <c r="C58" s="124">
        <f>Fisheries!D15</f>
        <v>-786.88407828999993</v>
      </c>
      <c r="D58" s="124">
        <f>Fisheries!E15</f>
        <v>-820.48929447000012</v>
      </c>
      <c r="E58" s="124">
        <f>Fisheries!F15</f>
        <v>-945.16003739999996</v>
      </c>
      <c r="F58" s="124">
        <f>Fisheries!G15</f>
        <v>-892.28858313000012</v>
      </c>
      <c r="G58" s="124">
        <f>Fisheries!H15</f>
        <v>-920.93843685999991</v>
      </c>
      <c r="H58" s="132">
        <f>Fisheries!I15</f>
        <v>3.2108282310977065E-2</v>
      </c>
      <c r="I58" s="124">
        <f>Fisheries!J15</f>
        <v>-873.15208602999996</v>
      </c>
      <c r="J58" s="132">
        <f>Fisheries!K15</f>
        <v>5.4728553701649307E-2</v>
      </c>
      <c r="K58" s="8" t="str">
        <f>Fisheries!L15</f>
        <v>S&amp;P Global (2025)</v>
      </c>
      <c r="L58" s="8" t="str">
        <f>Fisheries!M15</f>
        <v>S&amp;P Global (2025). Global Trade Atlas. https://connect.spglobal.com/gta/home/. Last accessed September 2025</v>
      </c>
    </row>
    <row r="59" spans="1:12" x14ac:dyDescent="0.3">
      <c r="A59" s="9" t="s">
        <v>291</v>
      </c>
      <c r="B59" s="9" t="s">
        <v>45</v>
      </c>
      <c r="C59" s="34">
        <f>+Exports!C85-'Imports &amp; Trade Balance'!C26</f>
        <v>626.80943558999979</v>
      </c>
      <c r="D59" s="34">
        <f>+Exports!D85-'Imports &amp; Trade Balance'!D26</f>
        <v>845.07870819000073</v>
      </c>
      <c r="E59" s="34">
        <f>+Exports!E85-'Imports &amp; Trade Balance'!E26</f>
        <v>881.34620580000001</v>
      </c>
      <c r="F59" s="34">
        <f>+Exports!F85-'Imports &amp; Trade Balance'!F26</f>
        <v>878.44199680000247</v>
      </c>
      <c r="G59" s="34">
        <f>+Exports!G85-'Imports &amp; Trade Balance'!G26</f>
        <v>936.90094324999973</v>
      </c>
      <c r="H59" s="147">
        <f t="shared" si="11"/>
        <v>-3.2951965764252966E-3</v>
      </c>
      <c r="I59" s="34">
        <f>+Exports!I85-'Imports &amp; Trade Balance'!I26</f>
        <v>833.71545792600057</v>
      </c>
      <c r="J59" s="132">
        <f>Fisheries!K16</f>
        <v>0</v>
      </c>
      <c r="K59" s="25"/>
      <c r="L59" s="25"/>
    </row>
    <row r="60" spans="1:12" x14ac:dyDescent="0.3">
      <c r="A60" s="15" t="s">
        <v>300</v>
      </c>
      <c r="B60" s="9" t="s">
        <v>45</v>
      </c>
      <c r="C60" s="33">
        <f>+Exports!C86-'Imports &amp; Trade Balance'!C27</f>
        <v>3929.1230917809658</v>
      </c>
      <c r="D60" s="33">
        <f>+Exports!D86-'Imports &amp; Trade Balance'!D27</f>
        <v>8463.0917447182128</v>
      </c>
      <c r="E60" s="33">
        <f>+Exports!E86-'Imports &amp; Trade Balance'!E27</f>
        <v>9858.8505468686599</v>
      </c>
      <c r="F60" s="33">
        <f>+Exports!F86-'Imports &amp; Trade Balance'!F27</f>
        <v>7860.896750984246</v>
      </c>
      <c r="G60" s="33">
        <f>+Exports!G86-'Imports &amp; Trade Balance'!G27</f>
        <v>9308.8710697711122</v>
      </c>
      <c r="H60" s="147">
        <f t="shared" si="11"/>
        <v>-0.20265585591202595</v>
      </c>
      <c r="I60" s="33">
        <f>+Exports!I86-'Imports &amp; Trade Balance'!I27</f>
        <v>7884.1666408246392</v>
      </c>
      <c r="J60" s="147">
        <f t="shared" si="12"/>
        <v>4.4222454307146108E-2</v>
      </c>
      <c r="K60" s="11"/>
      <c r="L60" s="11"/>
    </row>
    <row r="61" spans="1:12" x14ac:dyDescent="0.3">
      <c r="A61" s="26" t="s">
        <v>219</v>
      </c>
      <c r="B61" s="27"/>
      <c r="C61" s="27"/>
      <c r="D61" s="27"/>
      <c r="E61" s="27"/>
      <c r="F61" s="27"/>
      <c r="G61" s="27"/>
      <c r="H61" s="28"/>
      <c r="I61" s="28"/>
      <c r="J61" s="28"/>
      <c r="K61" s="13"/>
      <c r="L61" s="13"/>
    </row>
    <row r="62" spans="1:12" x14ac:dyDescent="0.3">
      <c r="A62" s="13" t="s">
        <v>293</v>
      </c>
      <c r="B62" s="13"/>
      <c r="C62" s="13"/>
      <c r="D62" s="13"/>
      <c r="E62" s="13"/>
      <c r="F62" s="13"/>
      <c r="G62" s="13"/>
      <c r="H62" s="29"/>
      <c r="I62" s="29"/>
      <c r="J62" s="29"/>
      <c r="K62" s="13"/>
      <c r="L62" s="13"/>
    </row>
    <row r="63" spans="1:12" x14ac:dyDescent="0.3">
      <c r="A63" s="13" t="s">
        <v>294</v>
      </c>
      <c r="B63" s="13"/>
      <c r="C63" s="13"/>
      <c r="D63" s="13"/>
      <c r="E63" s="13"/>
      <c r="F63" s="13"/>
      <c r="G63" s="13"/>
      <c r="H63" s="29"/>
      <c r="I63" s="29"/>
      <c r="J63" s="29"/>
      <c r="K63" s="13"/>
      <c r="L63" s="13"/>
    </row>
    <row r="64" spans="1:12" x14ac:dyDescent="0.3">
      <c r="A64" s="13" t="s">
        <v>298</v>
      </c>
      <c r="B64" s="13"/>
      <c r="C64" s="13"/>
      <c r="D64" s="13"/>
      <c r="E64" s="13"/>
      <c r="F64" s="13"/>
      <c r="G64" s="13"/>
      <c r="H64" s="29"/>
      <c r="I64" s="29"/>
      <c r="J64" s="29"/>
      <c r="K64" s="13"/>
      <c r="L64" s="13"/>
    </row>
    <row r="65" spans="1:12" x14ac:dyDescent="0.3">
      <c r="A65" s="13" t="s">
        <v>246</v>
      </c>
      <c r="B65" s="13"/>
      <c r="C65" s="13"/>
      <c r="D65" s="13"/>
      <c r="E65" s="13"/>
      <c r="F65" s="13"/>
      <c r="G65" s="13"/>
      <c r="H65" s="29"/>
      <c r="I65" s="29"/>
      <c r="J65" s="29"/>
      <c r="K65" s="13"/>
      <c r="L65" s="13"/>
    </row>
  </sheetData>
  <conditionalFormatting sqref="A2:E27">
    <cfRule type="expression" dxfId="17" priority="14">
      <formula>MOD(ROW(),2)=0</formula>
    </cfRule>
  </conditionalFormatting>
  <conditionalFormatting sqref="A35:G60">
    <cfRule type="expression" dxfId="16" priority="13">
      <formula>MOD(ROW(),2)=0</formula>
    </cfRule>
  </conditionalFormatting>
  <conditionalFormatting sqref="C3:L25 G45:L46 G48:L55 G57:L58 J59">
    <cfRule type="expression" dxfId="15" priority="21">
      <formula>MOD(ROW(),2)=0</formula>
    </cfRule>
  </conditionalFormatting>
  <conditionalFormatting sqref="F2:G25 G3:J10 G24:J25 C27:L27">
    <cfRule type="expression" dxfId="14" priority="16">
      <formula>MOD(ROW(),2)=0</formula>
    </cfRule>
  </conditionalFormatting>
  <conditionalFormatting sqref="F26:J26">
    <cfRule type="expression" dxfId="13" priority="11">
      <formula>MOD(ROW(),2)=0</formula>
    </cfRule>
  </conditionalFormatting>
  <conditionalFormatting sqref="G12:L13">
    <cfRule type="expression" dxfId="12" priority="8">
      <formula>MOD(ROW(),2)=0</formula>
    </cfRule>
  </conditionalFormatting>
  <conditionalFormatting sqref="G15:L22">
    <cfRule type="expression" dxfId="11" priority="9">
      <formula>MOD(ROW(),2)=0</formula>
    </cfRule>
  </conditionalFormatting>
  <conditionalFormatting sqref="H2:J2">
    <cfRule type="expression" dxfId="10" priority="6">
      <formula>MOD(ROW(),2)=0</formula>
    </cfRule>
  </conditionalFormatting>
  <conditionalFormatting sqref="H35:L44">
    <cfRule type="expression" dxfId="9" priority="4">
      <formula>MOD(ROW(),2)=0</formula>
    </cfRule>
  </conditionalFormatting>
  <conditionalFormatting sqref="H47:L58 H59:H60 J59:L60">
    <cfRule type="expression" dxfId="8" priority="3">
      <formula>MOD(ROW(),2)=0</formula>
    </cfRule>
  </conditionalFormatting>
  <conditionalFormatting sqref="K2:L10">
    <cfRule type="expression" dxfId="7" priority="7">
      <formula>MOD(ROW(),2)=0</formula>
    </cfRule>
  </conditionalFormatting>
  <conditionalFormatting sqref="K24:L26">
    <cfRule type="expression" dxfId="6" priority="10">
      <formula>MOD(ROW(),2)=0</formula>
    </cfRule>
  </conditionalFormatting>
  <conditionalFormatting sqref="I59">
    <cfRule type="expression" dxfId="1" priority="2">
      <formula>MOD(ROW(),2)=0</formula>
    </cfRule>
  </conditionalFormatting>
  <conditionalFormatting sqref="I60">
    <cfRule type="expression" dxfId="0" priority="1">
      <formula>MOD(ROW(),2)=0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0D70-0857-4AE7-AF00-17CF3B1D4F63}">
  <sheetPr codeName="Sheet27"/>
  <dimension ref="A1:G63"/>
  <sheetViews>
    <sheetView workbookViewId="0"/>
  </sheetViews>
  <sheetFormatPr defaultRowHeight="14.4" x14ac:dyDescent="0.3"/>
  <cols>
    <col min="1" max="1" width="65.6640625" customWidth="1"/>
    <col min="2" max="2" width="12.6640625" customWidth="1"/>
    <col min="4" max="4" width="17.33203125" bestFit="1" customWidth="1"/>
    <col min="5" max="5" width="23.88671875" bestFit="1" customWidth="1"/>
    <col min="6" max="6" width="17.33203125" bestFit="1" customWidth="1"/>
    <col min="7" max="7" width="25.5546875" bestFit="1" customWidth="1"/>
  </cols>
  <sheetData>
    <row r="1" spans="1:7" x14ac:dyDescent="0.3">
      <c r="A1" s="5" t="s">
        <v>301</v>
      </c>
      <c r="B1" s="5" t="s">
        <v>302</v>
      </c>
      <c r="C1" s="5" t="s">
        <v>38</v>
      </c>
      <c r="D1" s="5" t="s">
        <v>303</v>
      </c>
      <c r="E1" s="5" t="s">
        <v>304</v>
      </c>
      <c r="F1" s="5" t="s">
        <v>305</v>
      </c>
      <c r="G1" s="5" t="s">
        <v>306</v>
      </c>
    </row>
    <row r="2" spans="1:7" x14ac:dyDescent="0.3">
      <c r="A2" s="5"/>
      <c r="B2" s="5"/>
      <c r="C2" s="133"/>
      <c r="D2" s="133" t="s">
        <v>307</v>
      </c>
      <c r="E2" s="133" t="s">
        <v>307</v>
      </c>
      <c r="F2" s="133" t="s">
        <v>308</v>
      </c>
      <c r="G2" s="133" t="s">
        <v>308</v>
      </c>
    </row>
    <row r="3" spans="1:7" x14ac:dyDescent="0.3">
      <c r="A3" s="6" t="s">
        <v>309</v>
      </c>
      <c r="B3" s="6" t="s">
        <v>74</v>
      </c>
      <c r="C3" s="6" t="s">
        <v>310</v>
      </c>
      <c r="D3" s="7">
        <v>70880.503417499989</v>
      </c>
      <c r="E3" s="7">
        <v>57622.432507500002</v>
      </c>
      <c r="F3" s="7">
        <v>45606</v>
      </c>
      <c r="G3" s="7">
        <v>3711</v>
      </c>
    </row>
    <row r="4" spans="1:7" x14ac:dyDescent="0.3">
      <c r="A4" s="6" t="s">
        <v>28</v>
      </c>
      <c r="B4" s="6" t="s">
        <v>74</v>
      </c>
      <c r="C4" s="6" t="s">
        <v>310</v>
      </c>
      <c r="D4" s="7">
        <v>2341.8981825000001</v>
      </c>
      <c r="E4" s="7">
        <v>280.35221249999995</v>
      </c>
      <c r="F4" s="7">
        <v>905</v>
      </c>
      <c r="G4" s="7">
        <v>44</v>
      </c>
    </row>
    <row r="5" spans="1:7" x14ac:dyDescent="0.3">
      <c r="A5" s="6" t="s">
        <v>27</v>
      </c>
      <c r="B5" s="6" t="s">
        <v>74</v>
      </c>
      <c r="C5" s="6" t="s">
        <v>310</v>
      </c>
      <c r="D5" s="7">
        <v>1674.6291325</v>
      </c>
      <c r="E5" s="7">
        <v>16572.353425000001</v>
      </c>
      <c r="F5" s="7">
        <v>896</v>
      </c>
      <c r="G5" s="7">
        <v>2452</v>
      </c>
    </row>
    <row r="6" spans="1:7" x14ac:dyDescent="0.3">
      <c r="A6" s="6" t="s">
        <v>311</v>
      </c>
      <c r="B6" s="6" t="s">
        <v>74</v>
      </c>
      <c r="C6" s="6" t="s">
        <v>310</v>
      </c>
      <c r="D6" s="7">
        <v>5961.0735550000009</v>
      </c>
      <c r="E6" s="8"/>
      <c r="F6" s="7">
        <v>5828</v>
      </c>
      <c r="G6" s="8"/>
    </row>
    <row r="7" spans="1:7" x14ac:dyDescent="0.3">
      <c r="A7" s="9" t="s">
        <v>312</v>
      </c>
      <c r="B7" s="9" t="s">
        <v>74</v>
      </c>
      <c r="C7" s="9" t="s">
        <v>310</v>
      </c>
      <c r="D7" s="10">
        <v>80858.104287499984</v>
      </c>
      <c r="E7" s="10">
        <v>74475.138145000004</v>
      </c>
      <c r="F7" s="10">
        <v>53235</v>
      </c>
      <c r="G7" s="10">
        <v>6207</v>
      </c>
    </row>
    <row r="8" spans="1:7" x14ac:dyDescent="0.3">
      <c r="A8" s="6" t="s">
        <v>313</v>
      </c>
      <c r="B8" s="6"/>
      <c r="C8" s="6"/>
      <c r="D8" s="6" t="s">
        <v>400</v>
      </c>
      <c r="E8" s="6" t="s">
        <v>400</v>
      </c>
      <c r="F8" s="6" t="s">
        <v>399</v>
      </c>
      <c r="G8" s="6" t="s">
        <v>399</v>
      </c>
    </row>
    <row r="9" spans="1:7" x14ac:dyDescent="0.3">
      <c r="A9" s="11" t="s">
        <v>315</v>
      </c>
      <c r="B9" s="11"/>
      <c r="C9" s="11" t="s">
        <v>397</v>
      </c>
      <c r="D9" s="11"/>
      <c r="E9" s="11"/>
      <c r="F9" s="11"/>
      <c r="G9" s="11"/>
    </row>
    <row r="10" spans="1:7" x14ac:dyDescent="0.3">
      <c r="A10" s="11" t="s">
        <v>314</v>
      </c>
      <c r="B10" s="11"/>
      <c r="C10" s="11" t="s">
        <v>396</v>
      </c>
      <c r="D10" s="11"/>
      <c r="E10" s="11"/>
      <c r="F10" s="11"/>
      <c r="G10" s="11"/>
    </row>
    <row r="11" spans="1:7" x14ac:dyDescent="0.3">
      <c r="A11" s="12" t="s">
        <v>401</v>
      </c>
      <c r="B11" s="13"/>
      <c r="C11" s="13"/>
      <c r="D11" s="13"/>
      <c r="E11" s="13"/>
      <c r="F11" s="13"/>
      <c r="G11" s="13"/>
    </row>
    <row r="12" spans="1:7" x14ac:dyDescent="0.3">
      <c r="A12" s="13" t="s">
        <v>398</v>
      </c>
      <c r="B12" s="13"/>
      <c r="C12" s="13"/>
      <c r="D12" s="14"/>
      <c r="E12" s="13"/>
      <c r="F12" s="13"/>
      <c r="G12" s="13"/>
    </row>
    <row r="13" spans="1:7" x14ac:dyDescent="0.3">
      <c r="A13" s="13"/>
      <c r="B13" s="13"/>
      <c r="C13" s="13"/>
      <c r="D13" s="13"/>
      <c r="E13" s="13"/>
      <c r="F13" s="13"/>
      <c r="G13" s="13"/>
    </row>
    <row r="14" spans="1:7" x14ac:dyDescent="0.3">
      <c r="A14" s="5" t="s">
        <v>317</v>
      </c>
      <c r="B14" s="5" t="s">
        <v>302</v>
      </c>
      <c r="C14" s="5" t="s">
        <v>38</v>
      </c>
      <c r="D14" s="5" t="s">
        <v>303</v>
      </c>
      <c r="E14" s="5" t="s">
        <v>304</v>
      </c>
      <c r="F14" s="5" t="s">
        <v>305</v>
      </c>
      <c r="G14" s="5" t="s">
        <v>306</v>
      </c>
    </row>
    <row r="15" spans="1:7" x14ac:dyDescent="0.3">
      <c r="A15" s="5"/>
      <c r="B15" s="5"/>
      <c r="C15" s="5"/>
      <c r="D15" s="116" t="str">
        <f>+D2</f>
        <v>2024-25</v>
      </c>
      <c r="E15" s="116" t="str">
        <f t="shared" ref="E15:G15" si="0">+E2</f>
        <v>2024-25</v>
      </c>
      <c r="F15" s="116" t="str">
        <f t="shared" si="0"/>
        <v>As at 30 June 2024</v>
      </c>
      <c r="G15" s="116" t="str">
        <f t="shared" si="0"/>
        <v>As at 30 June 2024</v>
      </c>
    </row>
    <row r="16" spans="1:7" x14ac:dyDescent="0.3">
      <c r="A16" s="15" t="s">
        <v>318</v>
      </c>
      <c r="B16" s="11"/>
      <c r="C16" s="9" t="s">
        <v>310</v>
      </c>
      <c r="D16" s="16">
        <v>80858.104287499998</v>
      </c>
      <c r="E16" s="16"/>
      <c r="F16" s="16">
        <v>53235</v>
      </c>
      <c r="G16" s="16"/>
    </row>
    <row r="17" spans="1:7" x14ac:dyDescent="0.3">
      <c r="A17" s="17" t="s">
        <v>319</v>
      </c>
      <c r="B17" s="6"/>
      <c r="C17" s="6" t="s">
        <v>310</v>
      </c>
      <c r="D17" s="8">
        <v>27.847255000000001</v>
      </c>
      <c r="E17" s="8"/>
      <c r="F17" s="8">
        <v>0</v>
      </c>
      <c r="G17" s="8"/>
    </row>
    <row r="18" spans="1:7" x14ac:dyDescent="0.3">
      <c r="A18" s="18" t="s">
        <v>320</v>
      </c>
      <c r="B18" s="11"/>
      <c r="C18" s="9" t="s">
        <v>310</v>
      </c>
      <c r="D18" s="16">
        <v>70880.503417499989</v>
      </c>
      <c r="E18" s="16"/>
      <c r="F18" s="16">
        <v>45606</v>
      </c>
      <c r="G18" s="16"/>
    </row>
    <row r="19" spans="1:7" x14ac:dyDescent="0.3">
      <c r="A19" s="17" t="s">
        <v>321</v>
      </c>
      <c r="B19" s="6" t="str">
        <f>MID(A19,2,2)</f>
        <v>10</v>
      </c>
      <c r="C19" s="6" t="s">
        <v>310</v>
      </c>
      <c r="D19" s="8">
        <v>16697.037132500001</v>
      </c>
      <c r="E19" s="8"/>
      <c r="F19" s="8">
        <v>0</v>
      </c>
      <c r="G19" s="8"/>
    </row>
    <row r="20" spans="1:7" x14ac:dyDescent="0.3">
      <c r="A20" s="17" t="s">
        <v>322</v>
      </c>
      <c r="B20" s="6" t="str">
        <f t="shared" ref="B20:B28" si="1">MID(A20,2,2)</f>
        <v>11</v>
      </c>
      <c r="C20" s="6" t="s">
        <v>310</v>
      </c>
      <c r="D20" s="8">
        <v>2015.4234275000001</v>
      </c>
      <c r="E20" s="8"/>
      <c r="F20" s="8">
        <v>677</v>
      </c>
      <c r="G20" s="8"/>
    </row>
    <row r="21" spans="1:7" x14ac:dyDescent="0.3">
      <c r="A21" s="17" t="s">
        <v>323</v>
      </c>
      <c r="B21" s="6" t="str">
        <f t="shared" si="1"/>
        <v>12</v>
      </c>
      <c r="C21" s="6" t="s">
        <v>310</v>
      </c>
      <c r="D21" s="8">
        <v>2125.1396425000003</v>
      </c>
      <c r="E21" s="8"/>
      <c r="F21" s="8">
        <v>1463</v>
      </c>
      <c r="G21" s="8"/>
    </row>
    <row r="22" spans="1:7" x14ac:dyDescent="0.3">
      <c r="A22" s="17" t="s">
        <v>324</v>
      </c>
      <c r="B22" s="6" t="str">
        <f t="shared" si="1"/>
        <v>13</v>
      </c>
      <c r="C22" s="6" t="s">
        <v>310</v>
      </c>
      <c r="D22" s="8">
        <v>6990.5139899999995</v>
      </c>
      <c r="E22" s="8"/>
      <c r="F22" s="8">
        <v>2928</v>
      </c>
      <c r="G22" s="8"/>
    </row>
    <row r="23" spans="1:7" x14ac:dyDescent="0.3">
      <c r="A23" s="17" t="s">
        <v>325</v>
      </c>
      <c r="B23" s="6" t="str">
        <f t="shared" si="1"/>
        <v>14</v>
      </c>
      <c r="C23" s="6" t="s">
        <v>310</v>
      </c>
      <c r="D23" s="8">
        <v>35628.314839999999</v>
      </c>
      <c r="E23" s="8"/>
      <c r="F23" s="8">
        <v>35022</v>
      </c>
      <c r="G23" s="8"/>
    </row>
    <row r="24" spans="1:7" x14ac:dyDescent="0.3">
      <c r="A24" s="17" t="s">
        <v>326</v>
      </c>
      <c r="B24" s="6" t="str">
        <f t="shared" si="1"/>
        <v>15</v>
      </c>
      <c r="C24" s="6" t="s">
        <v>310</v>
      </c>
      <c r="D24" s="8">
        <v>704.05876249999983</v>
      </c>
      <c r="E24" s="8"/>
      <c r="F24" s="8">
        <v>1285</v>
      </c>
      <c r="G24" s="8"/>
    </row>
    <row r="25" spans="1:7" x14ac:dyDescent="0.3">
      <c r="A25" s="17" t="s">
        <v>327</v>
      </c>
      <c r="B25" s="6" t="str">
        <f t="shared" si="1"/>
        <v>16</v>
      </c>
      <c r="C25" s="6" t="s">
        <v>310</v>
      </c>
      <c r="D25" s="8">
        <v>185.95502249999998</v>
      </c>
      <c r="E25" s="8"/>
      <c r="F25" s="8">
        <v>1214</v>
      </c>
      <c r="G25" s="8"/>
    </row>
    <row r="26" spans="1:7" x14ac:dyDescent="0.3">
      <c r="A26" s="17" t="s">
        <v>328</v>
      </c>
      <c r="B26" s="6" t="str">
        <f t="shared" si="1"/>
        <v>17</v>
      </c>
      <c r="C26" s="6" t="s">
        <v>310</v>
      </c>
      <c r="D26" s="8">
        <v>2270.8440100000003</v>
      </c>
      <c r="E26" s="8"/>
      <c r="F26" s="8">
        <v>491</v>
      </c>
      <c r="G26" s="8"/>
    </row>
    <row r="27" spans="1:7" x14ac:dyDescent="0.3">
      <c r="A27" s="17" t="s">
        <v>329</v>
      </c>
      <c r="B27" s="6" t="str">
        <f t="shared" si="1"/>
        <v>18</v>
      </c>
      <c r="C27" s="6" t="s">
        <v>310</v>
      </c>
      <c r="D27" s="8">
        <v>0</v>
      </c>
      <c r="E27" s="8"/>
      <c r="F27" s="8">
        <v>19</v>
      </c>
      <c r="G27" s="8"/>
    </row>
    <row r="28" spans="1:7" x14ac:dyDescent="0.3">
      <c r="A28" s="17" t="s">
        <v>330</v>
      </c>
      <c r="B28" s="6" t="str">
        <f t="shared" si="1"/>
        <v>19</v>
      </c>
      <c r="C28" s="6" t="s">
        <v>310</v>
      </c>
      <c r="D28" s="8">
        <v>4263.2165900000009</v>
      </c>
      <c r="E28" s="8"/>
      <c r="F28" s="8">
        <v>2507</v>
      </c>
      <c r="G28" s="8"/>
    </row>
    <row r="29" spans="1:7" x14ac:dyDescent="0.3">
      <c r="A29" s="18" t="s">
        <v>331</v>
      </c>
      <c r="B29" s="11"/>
      <c r="C29" s="9" t="s">
        <v>310</v>
      </c>
      <c r="D29" s="16">
        <v>1224.9170099999999</v>
      </c>
      <c r="E29" s="16"/>
      <c r="F29" s="16">
        <v>309</v>
      </c>
      <c r="G29" s="16"/>
    </row>
    <row r="30" spans="1:7" x14ac:dyDescent="0.3">
      <c r="A30" s="17" t="s">
        <v>332</v>
      </c>
      <c r="B30" s="6" t="str">
        <f>MID(A30,2,2)</f>
        <v>20</v>
      </c>
      <c r="C30" s="6" t="s">
        <v>310</v>
      </c>
      <c r="D30" s="8">
        <v>1224.9170099999999</v>
      </c>
      <c r="E30" s="8"/>
      <c r="F30" s="8">
        <v>309</v>
      </c>
      <c r="G30" s="8"/>
    </row>
    <row r="31" spans="1:7" x14ac:dyDescent="0.3">
      <c r="A31" s="18" t="s">
        <v>333</v>
      </c>
      <c r="B31" s="11"/>
      <c r="C31" s="9" t="s">
        <v>310</v>
      </c>
      <c r="D31" s="16">
        <v>1674.6291325</v>
      </c>
      <c r="E31" s="16"/>
      <c r="F31" s="16">
        <v>896</v>
      </c>
      <c r="G31" s="16"/>
    </row>
    <row r="32" spans="1:7" x14ac:dyDescent="0.3">
      <c r="A32" s="17" t="s">
        <v>334</v>
      </c>
      <c r="B32" s="6" t="str">
        <f>MID(A32,2,2)</f>
        <v>30</v>
      </c>
      <c r="C32" s="6" t="s">
        <v>310</v>
      </c>
      <c r="D32" s="8">
        <v>1674.6291325</v>
      </c>
      <c r="E32" s="8"/>
      <c r="F32" s="8">
        <v>896</v>
      </c>
      <c r="G32" s="8"/>
    </row>
    <row r="33" spans="1:7" x14ac:dyDescent="0.3">
      <c r="A33" s="18" t="s">
        <v>335</v>
      </c>
      <c r="B33" s="11"/>
      <c r="C33" s="9" t="s">
        <v>310</v>
      </c>
      <c r="D33" s="16">
        <v>1745.2718374999999</v>
      </c>
      <c r="E33" s="16"/>
      <c r="F33" s="16">
        <v>850</v>
      </c>
      <c r="G33" s="16"/>
    </row>
    <row r="34" spans="1:7" x14ac:dyDescent="0.3">
      <c r="A34" s="17" t="s">
        <v>336</v>
      </c>
      <c r="B34" s="6" t="str">
        <f t="shared" ref="B34:B38" si="2">MID(A34,2,2)</f>
        <v>40</v>
      </c>
      <c r="C34" s="6" t="s">
        <v>310</v>
      </c>
      <c r="D34" s="8">
        <v>146.5592925</v>
      </c>
      <c r="E34" s="8"/>
      <c r="F34" s="8">
        <v>0</v>
      </c>
      <c r="G34" s="8"/>
    </row>
    <row r="35" spans="1:7" x14ac:dyDescent="0.3">
      <c r="A35" s="17" t="s">
        <v>337</v>
      </c>
      <c r="B35" s="6" t="str">
        <f t="shared" si="2"/>
        <v>41</v>
      </c>
      <c r="C35" s="6" t="s">
        <v>310</v>
      </c>
      <c r="D35" s="8">
        <v>1116.9811725</v>
      </c>
      <c r="E35" s="8"/>
      <c r="F35" s="8">
        <v>596</v>
      </c>
      <c r="G35" s="8"/>
    </row>
    <row r="36" spans="1:7" x14ac:dyDescent="0.3">
      <c r="A36" s="17" t="s">
        <v>338</v>
      </c>
      <c r="B36" s="6" t="str">
        <f t="shared" si="2"/>
        <v>42</v>
      </c>
      <c r="C36" s="6" t="s">
        <v>310</v>
      </c>
      <c r="D36" s="8">
        <v>481.73137250000002</v>
      </c>
      <c r="E36" s="8"/>
      <c r="F36" s="8">
        <v>254</v>
      </c>
      <c r="G36" s="8"/>
    </row>
    <row r="37" spans="1:7" x14ac:dyDescent="0.3">
      <c r="A37" s="18" t="s">
        <v>339</v>
      </c>
      <c r="B37" s="11"/>
      <c r="C37" s="9" t="s">
        <v>310</v>
      </c>
      <c r="D37" s="16">
        <v>5304.9356350000007</v>
      </c>
      <c r="E37" s="16"/>
      <c r="F37" s="16">
        <v>5574</v>
      </c>
      <c r="G37" s="16"/>
    </row>
    <row r="38" spans="1:7" x14ac:dyDescent="0.3">
      <c r="A38" s="17" t="s">
        <v>340</v>
      </c>
      <c r="B38" s="6" t="str">
        <f t="shared" si="2"/>
        <v>50</v>
      </c>
      <c r="C38" s="6" t="s">
        <v>310</v>
      </c>
      <c r="D38" s="8">
        <v>1.9896975000000001</v>
      </c>
      <c r="E38" s="8"/>
      <c r="F38" s="8">
        <v>0</v>
      </c>
      <c r="G38" s="16"/>
    </row>
    <row r="39" spans="1:7" x14ac:dyDescent="0.3">
      <c r="A39" s="17" t="s">
        <v>341</v>
      </c>
      <c r="B39" s="6" t="str">
        <f t="shared" ref="B39:B40" si="3">MID(A39,2,2)</f>
        <v>51</v>
      </c>
      <c r="C39" s="6" t="s">
        <v>310</v>
      </c>
      <c r="D39" s="8">
        <v>1910.3696850000001</v>
      </c>
      <c r="E39" s="8"/>
      <c r="F39" s="8">
        <v>312</v>
      </c>
      <c r="G39" s="8"/>
    </row>
    <row r="40" spans="1:7" x14ac:dyDescent="0.3">
      <c r="A40" s="17" t="s">
        <v>342</v>
      </c>
      <c r="B40" s="6" t="str">
        <f t="shared" si="3"/>
        <v>52</v>
      </c>
      <c r="C40" s="6" t="s">
        <v>310</v>
      </c>
      <c r="D40" s="8">
        <v>3394.5659500000006</v>
      </c>
      <c r="E40" s="8"/>
      <c r="F40" s="8">
        <v>5262</v>
      </c>
      <c r="G40" s="8"/>
    </row>
    <row r="41" spans="1:7" x14ac:dyDescent="0.3">
      <c r="A41" s="18" t="s">
        <v>343</v>
      </c>
      <c r="B41" s="11"/>
      <c r="C41" s="9" t="s">
        <v>310</v>
      </c>
      <c r="D41" s="16"/>
      <c r="E41" s="16">
        <v>57902.784720000003</v>
      </c>
      <c r="F41" s="16"/>
      <c r="G41" s="16">
        <v>3755</v>
      </c>
    </row>
    <row r="42" spans="1:7" x14ac:dyDescent="0.3">
      <c r="A42" s="17" t="s">
        <v>344</v>
      </c>
      <c r="B42" s="6" t="str">
        <f t="shared" ref="B42:B51" si="4">MID(A42,2,2)</f>
        <v>10</v>
      </c>
      <c r="C42" s="6" t="s">
        <v>310</v>
      </c>
      <c r="D42" s="8"/>
      <c r="E42" s="8">
        <v>9967.0507049999997</v>
      </c>
      <c r="F42" s="8"/>
      <c r="G42" s="8">
        <v>0</v>
      </c>
    </row>
    <row r="43" spans="1:7" x14ac:dyDescent="0.3">
      <c r="A43" s="17" t="s">
        <v>345</v>
      </c>
      <c r="B43" s="6" t="str">
        <f t="shared" si="4"/>
        <v>11</v>
      </c>
      <c r="C43" s="6" t="s">
        <v>310</v>
      </c>
      <c r="D43" s="8"/>
      <c r="E43" s="8">
        <v>10941.598074999998</v>
      </c>
      <c r="F43" s="8"/>
      <c r="G43" s="8">
        <v>325</v>
      </c>
    </row>
    <row r="44" spans="1:7" x14ac:dyDescent="0.3">
      <c r="A44" s="17" t="s">
        <v>346</v>
      </c>
      <c r="B44" s="6" t="str">
        <f t="shared" si="4"/>
        <v>12</v>
      </c>
      <c r="C44" s="6" t="s">
        <v>310</v>
      </c>
      <c r="D44" s="8"/>
      <c r="E44" s="8">
        <v>280.35221249999995</v>
      </c>
      <c r="F44" s="8"/>
      <c r="G44" s="8">
        <v>44</v>
      </c>
    </row>
    <row r="45" spans="1:7" x14ac:dyDescent="0.3">
      <c r="A45" s="17" t="s">
        <v>347</v>
      </c>
      <c r="B45" s="6" t="str">
        <f t="shared" si="4"/>
        <v>13</v>
      </c>
      <c r="C45" s="6" t="s">
        <v>310</v>
      </c>
      <c r="D45" s="8"/>
      <c r="E45" s="8">
        <v>3235.6207075000002</v>
      </c>
      <c r="F45" s="8"/>
      <c r="G45" s="8">
        <v>144</v>
      </c>
    </row>
    <row r="46" spans="1:7" x14ac:dyDescent="0.3">
      <c r="A46" s="17" t="s">
        <v>348</v>
      </c>
      <c r="B46" s="6" t="str">
        <f t="shared" si="4"/>
        <v>14</v>
      </c>
      <c r="C46" s="6" t="s">
        <v>310</v>
      </c>
      <c r="D46" s="8"/>
      <c r="E46" s="8">
        <v>823.06544499999995</v>
      </c>
      <c r="F46" s="8"/>
      <c r="G46" s="8">
        <v>188</v>
      </c>
    </row>
    <row r="47" spans="1:7" x14ac:dyDescent="0.3">
      <c r="A47" s="17" t="s">
        <v>349</v>
      </c>
      <c r="B47" s="6" t="str">
        <f t="shared" si="4"/>
        <v>15</v>
      </c>
      <c r="C47" s="6" t="s">
        <v>310</v>
      </c>
      <c r="D47" s="8"/>
      <c r="E47" s="8">
        <v>380.21924500000006</v>
      </c>
      <c r="F47" s="8"/>
      <c r="G47" s="8">
        <v>30</v>
      </c>
    </row>
    <row r="48" spans="1:7" x14ac:dyDescent="0.3">
      <c r="A48" s="17" t="s">
        <v>350</v>
      </c>
      <c r="B48" s="6" t="str">
        <f t="shared" si="4"/>
        <v>16</v>
      </c>
      <c r="C48" s="6" t="s">
        <v>310</v>
      </c>
      <c r="D48" s="8"/>
      <c r="E48" s="8">
        <v>3467.6136999999999</v>
      </c>
      <c r="F48" s="8"/>
      <c r="G48" s="8">
        <v>124</v>
      </c>
    </row>
    <row r="49" spans="1:7" x14ac:dyDescent="0.3">
      <c r="A49" s="17" t="s">
        <v>351</v>
      </c>
      <c r="B49" s="6" t="str">
        <f t="shared" si="4"/>
        <v>17</v>
      </c>
      <c r="C49" s="6" t="s">
        <v>310</v>
      </c>
      <c r="D49" s="8"/>
      <c r="E49" s="8">
        <v>21298.306495000001</v>
      </c>
      <c r="F49" s="8"/>
      <c r="G49" s="8">
        <v>2045</v>
      </c>
    </row>
    <row r="50" spans="1:7" x14ac:dyDescent="0.3">
      <c r="A50" s="17" t="s">
        <v>352</v>
      </c>
      <c r="B50" s="6" t="str">
        <f t="shared" si="4"/>
        <v>18</v>
      </c>
      <c r="C50" s="6" t="s">
        <v>310</v>
      </c>
      <c r="D50" s="8"/>
      <c r="E50" s="8">
        <v>1504.8003974999999</v>
      </c>
      <c r="F50" s="8"/>
      <c r="G50" s="8">
        <v>124</v>
      </c>
    </row>
    <row r="51" spans="1:7" x14ac:dyDescent="0.3">
      <c r="A51" s="17" t="s">
        <v>353</v>
      </c>
      <c r="B51" s="6" t="str">
        <f t="shared" si="4"/>
        <v>19</v>
      </c>
      <c r="C51" s="6" t="s">
        <v>310</v>
      </c>
      <c r="D51" s="8"/>
      <c r="E51" s="8">
        <v>6004.1577374999997</v>
      </c>
      <c r="F51" s="8"/>
      <c r="G51" s="8">
        <v>731</v>
      </c>
    </row>
    <row r="52" spans="1:7" x14ac:dyDescent="0.3">
      <c r="A52" s="18" t="s">
        <v>354</v>
      </c>
      <c r="B52" s="11"/>
      <c r="C52" s="9" t="s">
        <v>310</v>
      </c>
      <c r="D52" s="16"/>
      <c r="E52" s="16">
        <v>12228.005195000002</v>
      </c>
      <c r="F52" s="16"/>
      <c r="G52" s="16">
        <v>2232</v>
      </c>
    </row>
    <row r="53" spans="1:7" x14ac:dyDescent="0.3">
      <c r="A53" s="17" t="s">
        <v>355</v>
      </c>
      <c r="B53" s="6" t="str">
        <f t="shared" ref="B53:B54" si="5">MID(A53,2,2)</f>
        <v>41</v>
      </c>
      <c r="C53" s="6" t="s">
        <v>310</v>
      </c>
      <c r="D53" s="8"/>
      <c r="E53" s="8">
        <v>1533.6515075</v>
      </c>
      <c r="F53" s="8"/>
      <c r="G53" s="8">
        <v>255</v>
      </c>
    </row>
    <row r="54" spans="1:7" x14ac:dyDescent="0.3">
      <c r="A54" s="17" t="s">
        <v>356</v>
      </c>
      <c r="B54" s="6" t="str">
        <f t="shared" si="5"/>
        <v>49</v>
      </c>
      <c r="C54" s="6" t="s">
        <v>310</v>
      </c>
      <c r="D54" s="8"/>
      <c r="E54" s="8">
        <v>10694.353687500001</v>
      </c>
      <c r="F54" s="8"/>
      <c r="G54" s="8">
        <v>1977</v>
      </c>
    </row>
    <row r="55" spans="1:7" x14ac:dyDescent="0.3">
      <c r="A55" s="18" t="s">
        <v>357</v>
      </c>
      <c r="B55" s="11"/>
      <c r="C55" s="9" t="s">
        <v>310</v>
      </c>
      <c r="D55" s="16"/>
      <c r="E55" s="16">
        <v>4344.3482299999996</v>
      </c>
      <c r="F55" s="16"/>
      <c r="G55" s="16">
        <v>220</v>
      </c>
    </row>
    <row r="56" spans="1:7" x14ac:dyDescent="0.3">
      <c r="A56" s="17" t="s">
        <v>358</v>
      </c>
      <c r="B56" s="6" t="str">
        <f t="shared" ref="B56:B58" si="6">MID(A56,2,2)</f>
        <v>50</v>
      </c>
      <c r="C56" s="6" t="s">
        <v>310</v>
      </c>
      <c r="D56" s="8"/>
      <c r="E56" s="8">
        <v>663.99826000000007</v>
      </c>
      <c r="F56" s="8"/>
      <c r="G56" s="8">
        <v>0</v>
      </c>
    </row>
    <row r="57" spans="1:7" x14ac:dyDescent="0.3">
      <c r="A57" s="17" t="s">
        <v>359</v>
      </c>
      <c r="B57" s="6" t="str">
        <f t="shared" si="6"/>
        <v>51</v>
      </c>
      <c r="C57" s="6" t="s">
        <v>310</v>
      </c>
      <c r="D57" s="8"/>
      <c r="E57" s="8">
        <v>1196.4222200000002</v>
      </c>
      <c r="F57" s="8"/>
      <c r="G57" s="8">
        <v>32</v>
      </c>
    </row>
    <row r="58" spans="1:7" x14ac:dyDescent="0.3">
      <c r="A58" s="17" t="s">
        <v>360</v>
      </c>
      <c r="B58" s="6" t="str">
        <f t="shared" si="6"/>
        <v>52</v>
      </c>
      <c r="C58" s="6" t="s">
        <v>310</v>
      </c>
      <c r="D58" s="8"/>
      <c r="E58" s="8">
        <v>2483.9277499999998</v>
      </c>
      <c r="F58" s="8"/>
      <c r="G58" s="8">
        <v>188</v>
      </c>
    </row>
    <row r="59" spans="1:7" x14ac:dyDescent="0.3">
      <c r="A59" s="6" t="s">
        <v>313</v>
      </c>
      <c r="B59" s="6"/>
      <c r="C59" s="6"/>
      <c r="D59" s="6" t="s">
        <v>400</v>
      </c>
      <c r="E59" s="6" t="s">
        <v>400</v>
      </c>
      <c r="F59" s="6" t="s">
        <v>399</v>
      </c>
      <c r="G59" s="6" t="s">
        <v>399</v>
      </c>
    </row>
    <row r="60" spans="1:7" x14ac:dyDescent="0.3">
      <c r="A60" s="11" t="s">
        <v>315</v>
      </c>
      <c r="B60" s="11"/>
      <c r="C60" s="11" t="s">
        <v>316</v>
      </c>
      <c r="D60" s="11"/>
      <c r="E60" s="11"/>
      <c r="F60" s="11"/>
      <c r="G60" s="11"/>
    </row>
    <row r="61" spans="1:7" x14ac:dyDescent="0.3">
      <c r="A61" s="11" t="s">
        <v>314</v>
      </c>
      <c r="B61" s="11"/>
      <c r="C61" s="11" t="s">
        <v>395</v>
      </c>
      <c r="D61" s="11"/>
      <c r="E61" s="11"/>
      <c r="F61" s="11"/>
      <c r="G61" s="11"/>
    </row>
    <row r="62" spans="1:7" x14ac:dyDescent="0.3">
      <c r="A62" s="12" t="s">
        <v>401</v>
      </c>
      <c r="B62" s="13"/>
      <c r="C62" s="13"/>
      <c r="D62" s="13"/>
      <c r="E62" s="13"/>
      <c r="F62" s="13"/>
      <c r="G62" s="13"/>
    </row>
    <row r="63" spans="1:7" x14ac:dyDescent="0.3">
      <c r="A63" s="13" t="s">
        <v>398</v>
      </c>
      <c r="B63" s="13"/>
      <c r="C63" s="13"/>
      <c r="D63" s="13"/>
      <c r="E63" s="13"/>
      <c r="F63" s="13"/>
      <c r="G63" s="13"/>
    </row>
  </sheetData>
  <conditionalFormatting sqref="A14:C15">
    <cfRule type="expression" dxfId="5" priority="26">
      <formula>MOD(ROW(),2)=0</formula>
    </cfRule>
  </conditionalFormatting>
  <conditionalFormatting sqref="A1:G10">
    <cfRule type="expression" dxfId="4" priority="1">
      <formula>MOD(ROW(),2)=0</formula>
    </cfRule>
  </conditionalFormatting>
  <conditionalFormatting sqref="A16:G61">
    <cfRule type="expression" dxfId="3" priority="2">
      <formula>MOD(ROW(),2)=0</formula>
    </cfRule>
  </conditionalFormatting>
  <conditionalFormatting sqref="D14:G14">
    <cfRule type="expression" dxfId="2" priority="20">
      <formula>MOD(ROW(),2)=0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B13E-9505-428A-815F-CF72F344CB49}">
  <sheetPr codeName="Sheet28"/>
  <dimension ref="A1:A22"/>
  <sheetViews>
    <sheetView workbookViewId="0">
      <selection activeCell="A22" sqref="A22"/>
    </sheetView>
  </sheetViews>
  <sheetFormatPr defaultRowHeight="14.4" x14ac:dyDescent="0.3"/>
  <sheetData>
    <row r="1" spans="1:1" x14ac:dyDescent="0.3">
      <c r="A1" s="13" t="s">
        <v>220</v>
      </c>
    </row>
    <row r="2" spans="1:1" x14ac:dyDescent="0.3">
      <c r="A2" s="13" t="s">
        <v>361</v>
      </c>
    </row>
    <row r="3" spans="1:1" x14ac:dyDescent="0.3">
      <c r="A3" s="13" t="s">
        <v>222</v>
      </c>
    </row>
    <row r="4" spans="1:1" x14ac:dyDescent="0.3">
      <c r="A4" s="13" t="s">
        <v>384</v>
      </c>
    </row>
    <row r="5" spans="1:1" x14ac:dyDescent="0.3">
      <c r="A5" s="13" t="s">
        <v>62</v>
      </c>
    </row>
    <row r="6" spans="1:1" x14ac:dyDescent="0.3">
      <c r="A6" s="13" t="s">
        <v>244</v>
      </c>
    </row>
    <row r="7" spans="1:1" x14ac:dyDescent="0.3">
      <c r="A7" s="13" t="s">
        <v>245</v>
      </c>
    </row>
    <row r="8" spans="1:1" x14ac:dyDescent="0.3">
      <c r="A8" s="13" t="s">
        <v>293</v>
      </c>
    </row>
    <row r="9" spans="1:1" x14ac:dyDescent="0.3">
      <c r="A9" s="13" t="s">
        <v>294</v>
      </c>
    </row>
    <row r="10" spans="1:1" x14ac:dyDescent="0.3">
      <c r="A10" s="13" t="s">
        <v>380</v>
      </c>
    </row>
    <row r="11" spans="1:1" x14ac:dyDescent="0.3">
      <c r="A11" s="13" t="s">
        <v>243</v>
      </c>
    </row>
    <row r="12" spans="1:1" x14ac:dyDescent="0.3">
      <c r="A12" s="12" t="s">
        <v>401</v>
      </c>
    </row>
    <row r="13" spans="1:1" x14ac:dyDescent="0.3">
      <c r="A13" s="13" t="s">
        <v>398</v>
      </c>
    </row>
    <row r="14" spans="1:1" x14ac:dyDescent="0.3">
      <c r="A14" s="13" t="s">
        <v>63</v>
      </c>
    </row>
    <row r="15" spans="1:1" x14ac:dyDescent="0.3">
      <c r="A15" s="13" t="s">
        <v>223</v>
      </c>
    </row>
    <row r="16" spans="1:1" x14ac:dyDescent="0.3">
      <c r="A16" s="13" t="s">
        <v>104</v>
      </c>
    </row>
    <row r="17" spans="1:1" x14ac:dyDescent="0.3">
      <c r="A17" s="13" t="s">
        <v>383</v>
      </c>
    </row>
    <row r="18" spans="1:1" x14ac:dyDescent="0.3">
      <c r="A18" s="13" t="s">
        <v>246</v>
      </c>
    </row>
    <row r="19" spans="1:1" x14ac:dyDescent="0.3">
      <c r="A19" s="13" t="s">
        <v>183</v>
      </c>
    </row>
    <row r="20" spans="1:1" x14ac:dyDescent="0.3">
      <c r="A20" s="13" t="s">
        <v>105</v>
      </c>
    </row>
    <row r="21" spans="1:1" x14ac:dyDescent="0.3">
      <c r="A21" s="13" t="s">
        <v>385</v>
      </c>
    </row>
    <row r="22" spans="1:1" x14ac:dyDescent="0.3">
      <c r="A22" s="27"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9317-CADC-41BC-8515-B4C82B609F69}">
  <sheetPr codeName="Sheet3"/>
  <dimension ref="A1:M22"/>
  <sheetViews>
    <sheetView workbookViewId="0"/>
  </sheetViews>
  <sheetFormatPr defaultRowHeight="14.4" x14ac:dyDescent="0.3"/>
  <cols>
    <col min="1" max="1" width="25.33203125" customWidth="1"/>
    <col min="2" max="2" width="11.5546875" bestFit="1" customWidth="1"/>
    <col min="3" max="3" width="9.88671875" bestFit="1" customWidth="1"/>
    <col min="4" max="8" width="10.109375" customWidth="1"/>
    <col min="9" max="11" width="11.6640625" customWidth="1"/>
    <col min="12" max="12" width="13.44140625" customWidth="1"/>
  </cols>
  <sheetData>
    <row r="1" spans="1:13" x14ac:dyDescent="0.3">
      <c r="A1" s="111" t="s">
        <v>10</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938.34993312000006</v>
      </c>
      <c r="E3" s="78">
        <v>964.89864478847949</v>
      </c>
      <c r="F3" s="78">
        <v>686.2408339989845</v>
      </c>
      <c r="G3" s="78">
        <v>675.68122349328178</v>
      </c>
      <c r="H3" s="78">
        <v>1047.2</v>
      </c>
      <c r="I3" s="90">
        <f t="shared" ref="I3:I19" si="0">IF(ISBLANK(H3),"N/A",IF(ISNA(H3/G3-1),"N/A",IF(ISERROR(H3/G3-1),"N/A",H3/G3-1)))</f>
        <v>0.549843274593248</v>
      </c>
      <c r="J3" s="78">
        <f t="shared" ref="J3:J19" si="1">IF(ISBLANK(H3),"",IF(ISNA(AVERAGE(D3:H3)),"N/A",IF(ISERROR(AVERAGE(D3:H3)),"N/A",AVERAGE(D3:H3))))</f>
        <v>862.47412708014929</v>
      </c>
      <c r="K3" s="90">
        <f t="shared" ref="K3:K19" si="2">IF(ISBLANK(H3),"",IF(ISNA(H3/AVERAGE(D3:H3)-1),"N/A",IF(ISERROR(H3/AVERAGE(D3:H3)-1),"N/A",H3/AVERAGE(D3:H3)-1)))</f>
        <v>0.21418135004841043</v>
      </c>
      <c r="L3" s="76" t="s">
        <v>364</v>
      </c>
      <c r="M3" s="92" t="s">
        <v>365</v>
      </c>
    </row>
    <row r="4" spans="1:13" x14ac:dyDescent="0.3">
      <c r="A4" s="93" t="s">
        <v>46</v>
      </c>
      <c r="B4" s="85"/>
      <c r="C4" s="94" t="s">
        <v>47</v>
      </c>
      <c r="D4" s="98">
        <v>1370.9349999999999</v>
      </c>
      <c r="E4" s="98">
        <v>1158.588</v>
      </c>
      <c r="F4" s="98">
        <v>780</v>
      </c>
      <c r="G4" s="98">
        <v>800</v>
      </c>
      <c r="H4" s="98">
        <v>1000</v>
      </c>
      <c r="I4" s="90">
        <f t="shared" si="0"/>
        <v>0.25</v>
      </c>
      <c r="J4" s="98">
        <f t="shared" si="1"/>
        <v>1021.9046000000001</v>
      </c>
      <c r="K4" s="90">
        <f t="shared" si="2"/>
        <v>-2.1435073293534557E-2</v>
      </c>
      <c r="L4" s="76" t="s">
        <v>367</v>
      </c>
      <c r="M4" s="92" t="s">
        <v>366</v>
      </c>
    </row>
    <row r="5" spans="1:13" x14ac:dyDescent="0.3">
      <c r="A5" s="93" t="s">
        <v>48</v>
      </c>
      <c r="B5" s="85"/>
      <c r="C5" s="92" t="s">
        <v>49</v>
      </c>
      <c r="D5" s="83">
        <f t="shared" ref="D5:G5" si="3">+D6/D4</f>
        <v>3.1059007173936042</v>
      </c>
      <c r="E5" s="83">
        <f t="shared" si="3"/>
        <v>3.0741894443926574</v>
      </c>
      <c r="F5" s="83">
        <f t="shared" si="3"/>
        <v>2.92</v>
      </c>
      <c r="G5" s="83">
        <f t="shared" si="3"/>
        <v>2.4</v>
      </c>
      <c r="H5" s="83">
        <f t="shared" ref="H5" si="4">+H6/H4</f>
        <v>3.4</v>
      </c>
      <c r="I5" s="90">
        <f t="shared" si="0"/>
        <v>0.41666666666666674</v>
      </c>
      <c r="J5" s="83">
        <f t="shared" si="1"/>
        <v>2.9800180323572527</v>
      </c>
      <c r="K5" s="90">
        <f t="shared" si="2"/>
        <v>0.14093269338727232</v>
      </c>
      <c r="L5" s="76" t="s">
        <v>367</v>
      </c>
      <c r="M5" s="92" t="s">
        <v>366</v>
      </c>
    </row>
    <row r="6" spans="1:13" x14ac:dyDescent="0.3">
      <c r="A6" s="93" t="s">
        <v>50</v>
      </c>
      <c r="B6" s="76"/>
      <c r="C6" s="94" t="s">
        <v>51</v>
      </c>
      <c r="D6" s="98">
        <v>4257.9880000000003</v>
      </c>
      <c r="E6" s="98">
        <v>3561.7190000000001</v>
      </c>
      <c r="F6" s="98">
        <v>2277.6</v>
      </c>
      <c r="G6" s="98">
        <v>1920</v>
      </c>
      <c r="H6" s="98">
        <v>3400</v>
      </c>
      <c r="I6" s="90">
        <f t="shared" si="0"/>
        <v>0.77083333333333326</v>
      </c>
      <c r="J6" s="98">
        <f t="shared" si="1"/>
        <v>3083.4614000000001</v>
      </c>
      <c r="K6" s="90">
        <f t="shared" si="2"/>
        <v>0.10265690369919978</v>
      </c>
      <c r="L6" s="76" t="s">
        <v>367</v>
      </c>
      <c r="M6" s="92" t="s">
        <v>366</v>
      </c>
    </row>
    <row r="7" spans="1:13" x14ac:dyDescent="0.3">
      <c r="A7" s="93" t="s">
        <v>52</v>
      </c>
      <c r="B7" s="76"/>
      <c r="C7" s="92" t="s">
        <v>53</v>
      </c>
      <c r="D7" s="78">
        <v>254.52799999999999</v>
      </c>
      <c r="E7" s="78">
        <v>303.08699999999999</v>
      </c>
      <c r="F7" s="78">
        <v>339.90600000000001</v>
      </c>
      <c r="G7" s="78">
        <v>330.05399999999997</v>
      </c>
      <c r="H7" s="78">
        <v>308</v>
      </c>
      <c r="I7" s="90">
        <f t="shared" si="0"/>
        <v>-6.6819368951747227E-2</v>
      </c>
      <c r="J7" s="78">
        <f t="shared" si="1"/>
        <v>307.11499999999995</v>
      </c>
      <c r="K7" s="90">
        <f t="shared" si="2"/>
        <v>2.8816567083993494E-3</v>
      </c>
      <c r="L7" s="99" t="s">
        <v>369</v>
      </c>
      <c r="M7" s="92" t="s">
        <v>368</v>
      </c>
    </row>
    <row r="8" spans="1:13" x14ac:dyDescent="0.3">
      <c r="A8" s="143" t="s">
        <v>64</v>
      </c>
      <c r="B8" s="76" t="s">
        <v>57</v>
      </c>
      <c r="C8" s="92" t="s">
        <v>45</v>
      </c>
      <c r="D8" s="78">
        <v>48.929844000000003</v>
      </c>
      <c r="E8" s="78">
        <v>241.25100699999999</v>
      </c>
      <c r="F8" s="78">
        <v>54.396723999999999</v>
      </c>
      <c r="G8" s="78">
        <v>32.168587000000002</v>
      </c>
      <c r="H8" s="78">
        <v>226.44930299999999</v>
      </c>
      <c r="I8" s="90">
        <f t="shared" ref="I8:I13" si="5">IF(ISBLANK(H8),"N/A",IF(ISNA(H8/G8-1),"N/A",IF(ISERROR(H8/G8-1),"N/A",H8/G8-1)))</f>
        <v>6.0394544528797605</v>
      </c>
      <c r="J8" s="78">
        <f t="shared" ref="J8:J13" si="6">IF(ISBLANK(H8),"",IF(ISNA(AVERAGE(D8:H8)),"N/A",IF(ISERROR(AVERAGE(D8:H8)),"N/A",AVERAGE(D8:H8))))</f>
        <v>120.639093</v>
      </c>
      <c r="K8" s="90">
        <f t="shared" ref="K8:K13" si="7">IF(ISBLANK(H8),"",IF(ISNA(H8/AVERAGE(D8:H8)-1),"N/A",IF(ISERROR(H8/AVERAGE(D8:H8)-1),"N/A",H8/AVERAGE(D8:H8)-1)))</f>
        <v>0.87708061598241605</v>
      </c>
      <c r="L8" s="76" t="s">
        <v>58</v>
      </c>
      <c r="M8" s="92" t="s">
        <v>59</v>
      </c>
    </row>
    <row r="9" spans="1:13" x14ac:dyDescent="0.3">
      <c r="A9" s="143"/>
      <c r="B9" s="78" t="s">
        <v>426</v>
      </c>
      <c r="C9" s="92" t="s">
        <v>45</v>
      </c>
      <c r="D9" s="78">
        <v>0</v>
      </c>
      <c r="E9" s="78">
        <v>0</v>
      </c>
      <c r="F9" s="78">
        <v>0</v>
      </c>
      <c r="G9" s="78">
        <v>3.639173</v>
      </c>
      <c r="H9" s="78">
        <v>202.87004200000001</v>
      </c>
      <c r="I9" s="90">
        <f t="shared" si="5"/>
        <v>54.746193434607264</v>
      </c>
      <c r="J9" s="78">
        <f t="shared" si="6"/>
        <v>41.301843000000005</v>
      </c>
      <c r="K9" s="90">
        <f t="shared" si="7"/>
        <v>3.9118883629478711</v>
      </c>
      <c r="L9" s="76" t="s">
        <v>58</v>
      </c>
      <c r="M9" s="92" t="s">
        <v>59</v>
      </c>
    </row>
    <row r="10" spans="1:13" x14ac:dyDescent="0.3">
      <c r="A10" s="143"/>
      <c r="B10" s="78" t="s">
        <v>427</v>
      </c>
      <c r="C10" s="92" t="s">
        <v>45</v>
      </c>
      <c r="D10" s="78">
        <v>7.5123930000000003</v>
      </c>
      <c r="E10" s="78">
        <v>108.20795200000001</v>
      </c>
      <c r="F10" s="78">
        <v>30.861560999999998</v>
      </c>
      <c r="G10" s="78">
        <v>0</v>
      </c>
      <c r="H10" s="78">
        <v>0</v>
      </c>
      <c r="I10" s="90" t="str">
        <f t="shared" si="5"/>
        <v>N/A</v>
      </c>
      <c r="J10" s="78">
        <f t="shared" si="6"/>
        <v>29.316381200000002</v>
      </c>
      <c r="K10" s="90">
        <f t="shared" si="7"/>
        <v>-1</v>
      </c>
      <c r="L10" s="76" t="s">
        <v>58</v>
      </c>
      <c r="M10" s="92" t="s">
        <v>59</v>
      </c>
    </row>
    <row r="11" spans="1:13" x14ac:dyDescent="0.3">
      <c r="A11" s="143"/>
      <c r="B11" s="78" t="s">
        <v>428</v>
      </c>
      <c r="C11" s="92" t="s">
        <v>45</v>
      </c>
      <c r="D11" s="78">
        <v>4.846241</v>
      </c>
      <c r="E11" s="78">
        <v>29.011966999999999</v>
      </c>
      <c r="F11" s="78">
        <v>14.829221</v>
      </c>
      <c r="G11" s="78">
        <v>11.450438</v>
      </c>
      <c r="H11" s="78">
        <v>0</v>
      </c>
      <c r="I11" s="90">
        <f t="shared" si="5"/>
        <v>-1</v>
      </c>
      <c r="J11" s="78">
        <f t="shared" si="6"/>
        <v>12.027573399999998</v>
      </c>
      <c r="K11" s="90">
        <f t="shared" si="7"/>
        <v>-1</v>
      </c>
      <c r="L11" s="76" t="s">
        <v>58</v>
      </c>
      <c r="M11" s="92" t="s">
        <v>59</v>
      </c>
    </row>
    <row r="12" spans="1:13" x14ac:dyDescent="0.3">
      <c r="A12" s="93" t="s">
        <v>65</v>
      </c>
      <c r="B12" s="76" t="s">
        <v>57</v>
      </c>
      <c r="C12" s="92" t="s">
        <v>45</v>
      </c>
      <c r="D12" s="78">
        <v>7.9234540000000006E-2</v>
      </c>
      <c r="E12" s="78">
        <v>2.9418389999999999E-2</v>
      </c>
      <c r="F12" s="78">
        <v>1.2190290000000001E-2</v>
      </c>
      <c r="G12" s="78">
        <v>1.142281E-2</v>
      </c>
      <c r="H12" s="78">
        <v>0.32790724999999998</v>
      </c>
      <c r="I12" s="90">
        <f t="shared" si="5"/>
        <v>27.706355966701711</v>
      </c>
      <c r="J12" s="78">
        <f t="shared" si="6"/>
        <v>9.2034656000000006E-2</v>
      </c>
      <c r="K12" s="90">
        <f t="shared" si="7"/>
        <v>2.5628671225760864</v>
      </c>
      <c r="L12" s="76" t="s">
        <v>58</v>
      </c>
      <c r="M12" s="92" t="s">
        <v>59</v>
      </c>
    </row>
    <row r="13" spans="1:13" x14ac:dyDescent="0.3">
      <c r="A13" s="93" t="s">
        <v>61</v>
      </c>
      <c r="B13" s="76" t="s">
        <v>57</v>
      </c>
      <c r="C13" s="92" t="s">
        <v>45</v>
      </c>
      <c r="D13" s="78">
        <f>+D8-D12</f>
        <v>48.850609460000001</v>
      </c>
      <c r="E13" s="78">
        <f t="shared" ref="E13:H13" si="8">+E8-E12</f>
        <v>241.22158861</v>
      </c>
      <c r="F13" s="78">
        <f t="shared" si="8"/>
        <v>54.384533709999999</v>
      </c>
      <c r="G13" s="78">
        <f t="shared" si="8"/>
        <v>32.157164190000003</v>
      </c>
      <c r="H13" s="78">
        <f t="shared" si="8"/>
        <v>226.12139574999998</v>
      </c>
      <c r="I13" s="90">
        <f t="shared" si="5"/>
        <v>6.0317579751114225</v>
      </c>
      <c r="J13" s="78">
        <f t="shared" si="6"/>
        <v>120.54705834400002</v>
      </c>
      <c r="K13" s="90">
        <f t="shared" si="7"/>
        <v>0.87579356026031729</v>
      </c>
      <c r="L13" s="76" t="s">
        <v>58</v>
      </c>
      <c r="M13" s="92" t="s">
        <v>59</v>
      </c>
    </row>
    <row r="14" spans="1:13" ht="13.95" customHeight="1" x14ac:dyDescent="0.3">
      <c r="A14" s="143" t="s">
        <v>66</v>
      </c>
      <c r="B14" s="85" t="s">
        <v>57</v>
      </c>
      <c r="C14" s="92" t="s">
        <v>45</v>
      </c>
      <c r="D14" s="78">
        <v>1910.023441</v>
      </c>
      <c r="E14" s="78">
        <v>2976.7773440000001</v>
      </c>
      <c r="F14" s="78">
        <v>3331.6827739999999</v>
      </c>
      <c r="G14" s="78">
        <v>3317.3350679999999</v>
      </c>
      <c r="H14" s="78">
        <v>2972.8780539999998</v>
      </c>
      <c r="I14" s="90">
        <f t="shared" si="0"/>
        <v>-0.10383546037382074</v>
      </c>
      <c r="J14" s="78">
        <f t="shared" si="1"/>
        <v>2901.7393362000003</v>
      </c>
      <c r="K14" s="90">
        <f t="shared" si="2"/>
        <v>2.451588842337582E-2</v>
      </c>
      <c r="L14" s="76" t="s">
        <v>58</v>
      </c>
      <c r="M14" s="92" t="s">
        <v>59</v>
      </c>
    </row>
    <row r="15" spans="1:13" x14ac:dyDescent="0.3">
      <c r="A15" s="143"/>
      <c r="B15" s="78" t="s">
        <v>426</v>
      </c>
      <c r="C15" s="92" t="s">
        <v>45</v>
      </c>
      <c r="D15" s="78">
        <v>63.463963</v>
      </c>
      <c r="E15" s="78">
        <v>0</v>
      </c>
      <c r="F15" s="78">
        <v>0</v>
      </c>
      <c r="G15" s="78">
        <v>2315.3734199999999</v>
      </c>
      <c r="H15" s="78">
        <v>2126.515277</v>
      </c>
      <c r="I15" s="90">
        <f t="shared" si="0"/>
        <v>-8.1567034228111623E-2</v>
      </c>
      <c r="J15" s="78">
        <f t="shared" si="1"/>
        <v>901.07053200000007</v>
      </c>
      <c r="K15" s="90">
        <f t="shared" si="2"/>
        <v>1.3599875941786985</v>
      </c>
      <c r="L15" s="76" t="s">
        <v>58</v>
      </c>
      <c r="M15" s="92" t="s">
        <v>59</v>
      </c>
    </row>
    <row r="16" spans="1:13" x14ac:dyDescent="0.3">
      <c r="A16" s="143"/>
      <c r="B16" s="78" t="s">
        <v>428</v>
      </c>
      <c r="C16" s="92" t="s">
        <v>45</v>
      </c>
      <c r="D16" s="78">
        <v>258.93971599999998</v>
      </c>
      <c r="E16" s="78">
        <v>454.00115599999998</v>
      </c>
      <c r="F16" s="78">
        <v>551.99873200000002</v>
      </c>
      <c r="G16" s="78">
        <v>373.749369</v>
      </c>
      <c r="H16" s="78">
        <v>243.52641399999999</v>
      </c>
      <c r="I16" s="90">
        <f t="shared" si="0"/>
        <v>-0.34842321031450363</v>
      </c>
      <c r="J16" s="78">
        <f t="shared" si="1"/>
        <v>376.44307739999994</v>
      </c>
      <c r="K16" s="90">
        <f t="shared" si="2"/>
        <v>-0.35308568912469518</v>
      </c>
      <c r="L16" s="76" t="s">
        <v>58</v>
      </c>
      <c r="M16" s="92" t="s">
        <v>59</v>
      </c>
    </row>
    <row r="17" spans="1:13" x14ac:dyDescent="0.3">
      <c r="A17" s="143"/>
      <c r="B17" s="78" t="s">
        <v>427</v>
      </c>
      <c r="C17" s="92" t="s">
        <v>45</v>
      </c>
      <c r="D17" s="78">
        <v>720.89039400000001</v>
      </c>
      <c r="E17" s="78">
        <v>1031.433824</v>
      </c>
      <c r="F17" s="78">
        <v>1151.696246</v>
      </c>
      <c r="G17" s="78">
        <v>1.5313999999999999E-2</v>
      </c>
      <c r="H17" s="78">
        <v>144.454511</v>
      </c>
      <c r="I17" s="90">
        <f t="shared" si="0"/>
        <v>9431.8399503722085</v>
      </c>
      <c r="J17" s="78">
        <f t="shared" si="1"/>
        <v>609.69805780000002</v>
      </c>
      <c r="K17" s="90">
        <f t="shared" si="2"/>
        <v>-0.76307204992379096</v>
      </c>
      <c r="L17" s="76" t="s">
        <v>58</v>
      </c>
      <c r="M17" s="92" t="s">
        <v>59</v>
      </c>
    </row>
    <row r="18" spans="1:13" x14ac:dyDescent="0.3">
      <c r="A18" s="93" t="s">
        <v>67</v>
      </c>
      <c r="B18" s="85" t="s">
        <v>57</v>
      </c>
      <c r="C18" s="92" t="s">
        <v>45</v>
      </c>
      <c r="D18" s="78">
        <v>0.21142309000000004</v>
      </c>
      <c r="E18" s="78">
        <v>0.12532361</v>
      </c>
      <c r="F18" s="78">
        <v>7.0838009999999993E-2</v>
      </c>
      <c r="G18" s="78">
        <v>7.1840360000000006E-2</v>
      </c>
      <c r="H18" s="78">
        <v>0.38923061999999997</v>
      </c>
      <c r="I18" s="90">
        <f t="shared" si="0"/>
        <v>4.4179937294300853</v>
      </c>
      <c r="J18" s="78">
        <f t="shared" si="1"/>
        <v>0.17373113800000001</v>
      </c>
      <c r="K18" s="90">
        <f t="shared" si="2"/>
        <v>1.2404194462825653</v>
      </c>
      <c r="L18" s="76" t="s">
        <v>58</v>
      </c>
      <c r="M18" s="92" t="s">
        <v>59</v>
      </c>
    </row>
    <row r="19" spans="1:13" x14ac:dyDescent="0.3">
      <c r="A19" s="93" t="s">
        <v>61</v>
      </c>
      <c r="B19" s="85" t="s">
        <v>57</v>
      </c>
      <c r="C19" s="92" t="s">
        <v>45</v>
      </c>
      <c r="D19" s="78">
        <f>+D14-D18</f>
        <v>1909.8120179100001</v>
      </c>
      <c r="E19" s="78">
        <f t="shared" ref="E19:H19" si="9">+E14-E18</f>
        <v>2976.65202039</v>
      </c>
      <c r="F19" s="78">
        <f t="shared" si="9"/>
        <v>3331.6119359899999</v>
      </c>
      <c r="G19" s="78">
        <f t="shared" si="9"/>
        <v>3317.26322764</v>
      </c>
      <c r="H19" s="78">
        <f t="shared" si="9"/>
        <v>2972.4888233799998</v>
      </c>
      <c r="I19" s="90">
        <f t="shared" si="0"/>
        <v>-0.10393338743434088</v>
      </c>
      <c r="J19" s="78">
        <f t="shared" si="1"/>
        <v>2901.565605062</v>
      </c>
      <c r="K19" s="90">
        <f t="shared" si="2"/>
        <v>2.4443086240844902E-2</v>
      </c>
      <c r="L19" s="76" t="s">
        <v>58</v>
      </c>
      <c r="M19" s="92" t="s">
        <v>59</v>
      </c>
    </row>
    <row r="20" spans="1:13" x14ac:dyDescent="0.3">
      <c r="A20" s="13" t="s">
        <v>62</v>
      </c>
    </row>
    <row r="21" spans="1:13" x14ac:dyDescent="0.3">
      <c r="A21" s="13" t="s">
        <v>63</v>
      </c>
    </row>
    <row r="22" spans="1:13" x14ac:dyDescent="0.3">
      <c r="A22" s="13"/>
    </row>
  </sheetData>
  <mergeCells count="2">
    <mergeCell ref="A14:A17"/>
    <mergeCell ref="A8: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11B-88FF-4FB0-9B56-08F9C8F8F721}">
  <sheetPr codeName="Sheet4"/>
  <dimension ref="A1:M20"/>
  <sheetViews>
    <sheetView workbookViewId="0"/>
  </sheetViews>
  <sheetFormatPr defaultRowHeight="14.4" x14ac:dyDescent="0.3"/>
  <cols>
    <col min="1" max="1" width="13.44140625" bestFit="1" customWidth="1"/>
    <col min="2" max="2" width="18.109375" bestFit="1" customWidth="1"/>
    <col min="3" max="3" width="10" bestFit="1" customWidth="1"/>
  </cols>
  <sheetData>
    <row r="1" spans="1:13" x14ac:dyDescent="0.3">
      <c r="A1" s="111" t="s">
        <v>11</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171.85360383000003</v>
      </c>
      <c r="E3" s="78">
        <v>272.6858424695842</v>
      </c>
      <c r="F3" s="78">
        <v>228.5419739907349</v>
      </c>
      <c r="G3" s="78">
        <v>277.12819929842414</v>
      </c>
      <c r="H3" s="78">
        <v>194.13951</v>
      </c>
      <c r="I3" s="79">
        <f t="shared" ref="I3:I18" si="0">IF(ISBLANK(H3),"N/A",IF(ISNA(H3/G3-1),"N/A",IF(ISERROR(H3/G3-1),"N/A",H3/G3-1)))</f>
        <v>-0.29945956242821092</v>
      </c>
      <c r="J3" s="78">
        <f t="shared" ref="J3:J18" si="1">IF(ISBLANK(H3),"",IF(ISNA(AVERAGE(D3:H3)),"N/A",IF(ISERROR(AVERAGE(D3:H3)),"N/A",AVERAGE(D3:H3))))</f>
        <v>228.86982591774864</v>
      </c>
      <c r="K3" s="79">
        <f t="shared" ref="K3:K18" si="2">IF(ISBLANK(H3),"",IF(ISNA(H3/AVERAGE(D3:H3)-1),"N/A",IF(ISERROR(H3/AVERAGE(D3:H3)-1),"N/A",H3/AVERAGE(D3:H3)-1)))</f>
        <v>-0.15174702815665198</v>
      </c>
      <c r="L3" s="76" t="s">
        <v>364</v>
      </c>
      <c r="M3" s="92" t="s">
        <v>365</v>
      </c>
    </row>
    <row r="4" spans="1:13" x14ac:dyDescent="0.3">
      <c r="A4" s="93" t="s">
        <v>46</v>
      </c>
      <c r="B4" s="85"/>
      <c r="C4" s="94" t="s">
        <v>47</v>
      </c>
      <c r="D4" s="98">
        <v>43.906999999999996</v>
      </c>
      <c r="E4" s="98">
        <v>61.597000000000001</v>
      </c>
      <c r="F4" s="98">
        <v>51</v>
      </c>
      <c r="G4" s="98">
        <v>57</v>
      </c>
      <c r="H4" s="98">
        <v>43</v>
      </c>
      <c r="I4" s="79">
        <f t="shared" si="0"/>
        <v>-0.24561403508771928</v>
      </c>
      <c r="J4" s="98">
        <f t="shared" si="1"/>
        <v>51.300800000000002</v>
      </c>
      <c r="K4" s="79">
        <f t="shared" si="2"/>
        <v>-0.1618064435642329</v>
      </c>
      <c r="L4" s="76" t="s">
        <v>367</v>
      </c>
      <c r="M4" s="92" t="s">
        <v>366</v>
      </c>
    </row>
    <row r="5" spans="1:13" x14ac:dyDescent="0.3">
      <c r="A5" s="93" t="s">
        <v>48</v>
      </c>
      <c r="B5" s="85"/>
      <c r="C5" s="92" t="s">
        <v>49</v>
      </c>
      <c r="D5" s="83">
        <f t="shared" ref="D5:G5" si="3">+D6/D4</f>
        <v>9.4934065183228196</v>
      </c>
      <c r="E5" s="83">
        <f t="shared" si="3"/>
        <v>11.127944542753704</v>
      </c>
      <c r="F5" s="83">
        <f t="shared" si="3"/>
        <v>9.8627450980392162</v>
      </c>
      <c r="G5" s="83">
        <f t="shared" si="3"/>
        <v>10.842105263157896</v>
      </c>
      <c r="H5" s="83">
        <f t="shared" ref="H5" si="4">+H6/H4</f>
        <v>11.011883720930234</v>
      </c>
      <c r="I5" s="79">
        <f t="shared" si="0"/>
        <v>1.5659178144050712E-2</v>
      </c>
      <c r="J5" s="83">
        <f t="shared" si="1"/>
        <v>10.467617028640774</v>
      </c>
      <c r="K5" s="79">
        <f t="shared" si="2"/>
        <v>5.1995281332921861E-2</v>
      </c>
      <c r="L5" s="76" t="s">
        <v>367</v>
      </c>
      <c r="M5" s="92" t="s">
        <v>366</v>
      </c>
    </row>
    <row r="6" spans="1:13" x14ac:dyDescent="0.3">
      <c r="A6" s="93" t="s">
        <v>50</v>
      </c>
      <c r="B6" s="76"/>
      <c r="C6" s="94" t="s">
        <v>51</v>
      </c>
      <c r="D6" s="98">
        <v>416.827</v>
      </c>
      <c r="E6" s="98">
        <v>685.44799999999998</v>
      </c>
      <c r="F6" s="98">
        <v>503</v>
      </c>
      <c r="G6" s="98">
        <v>618</v>
      </c>
      <c r="H6" s="98">
        <v>473.51100000000002</v>
      </c>
      <c r="I6" s="79">
        <f t="shared" si="0"/>
        <v>-0.23380097087378637</v>
      </c>
      <c r="J6" s="98">
        <f t="shared" si="1"/>
        <v>539.35720000000003</v>
      </c>
      <c r="K6" s="79">
        <f t="shared" si="2"/>
        <v>-0.12208273107321088</v>
      </c>
      <c r="L6" s="76" t="s">
        <v>367</v>
      </c>
      <c r="M6" s="92" t="s">
        <v>366</v>
      </c>
    </row>
    <row r="7" spans="1:13" x14ac:dyDescent="0.3">
      <c r="A7" s="93" t="s">
        <v>52</v>
      </c>
      <c r="B7" s="76"/>
      <c r="C7" s="92" t="s">
        <v>53</v>
      </c>
      <c r="D7" s="78">
        <v>412.29</v>
      </c>
      <c r="E7" s="78">
        <v>397.822</v>
      </c>
      <c r="F7" s="78">
        <v>430</v>
      </c>
      <c r="G7" s="78">
        <v>400</v>
      </c>
      <c r="H7" s="78">
        <v>410</v>
      </c>
      <c r="I7" s="79">
        <f t="shared" si="0"/>
        <v>2.4999999999999911E-2</v>
      </c>
      <c r="J7" s="78">
        <f t="shared" si="1"/>
        <v>410.0224</v>
      </c>
      <c r="K7" s="79">
        <f t="shared" si="2"/>
        <v>-5.4631161614637769E-5</v>
      </c>
      <c r="L7" s="99" t="s">
        <v>369</v>
      </c>
      <c r="M7" s="92" t="s">
        <v>368</v>
      </c>
    </row>
    <row r="8" spans="1:13" x14ac:dyDescent="0.3">
      <c r="A8" s="143" t="s">
        <v>68</v>
      </c>
      <c r="B8" s="76" t="s">
        <v>57</v>
      </c>
      <c r="C8" s="92" t="s">
        <v>45</v>
      </c>
      <c r="D8" s="78">
        <v>4.711722</v>
      </c>
      <c r="E8" s="78">
        <v>39.822009000000001</v>
      </c>
      <c r="F8" s="78">
        <v>62.803389000000003</v>
      </c>
      <c r="G8" s="78">
        <v>64.270572000000001</v>
      </c>
      <c r="H8" s="78">
        <v>50.936841000000001</v>
      </c>
      <c r="I8" s="79">
        <f t="shared" ref="I8:I12" si="5">IF(ISBLANK(H8),"N/A",IF(ISNA(H8/G8-1),"N/A",IF(ISERROR(H8/G8-1),"N/A",H8/G8-1)))</f>
        <v>-0.2074624604243448</v>
      </c>
      <c r="J8" s="78">
        <f t="shared" ref="J8:J12" si="6">IF(ISBLANK(H8),"",IF(ISNA(AVERAGE(D8:H8)),"N/A",IF(ISERROR(AVERAGE(D8:H8)),"N/A",AVERAGE(D8:H8))))</f>
        <v>44.508906600000003</v>
      </c>
      <c r="K8" s="79">
        <f t="shared" ref="K8:K12" si="7">IF(ISBLANK(H8),"",IF(ISNA(H8/AVERAGE(D8:H8)-1),"N/A",IF(ISERROR(H8/AVERAGE(D8:H8)-1),"N/A",H8/AVERAGE(D8:H8)-1)))</f>
        <v>0.14441905881372508</v>
      </c>
      <c r="L8" s="76" t="s">
        <v>58</v>
      </c>
      <c r="M8" s="92" t="s">
        <v>59</v>
      </c>
    </row>
    <row r="9" spans="1:13" x14ac:dyDescent="0.3">
      <c r="A9" s="143"/>
      <c r="B9" s="78" t="s">
        <v>429</v>
      </c>
      <c r="C9" s="92" t="s">
        <v>45</v>
      </c>
      <c r="D9" s="78">
        <v>4.711722</v>
      </c>
      <c r="E9" s="78">
        <v>39.803350000000002</v>
      </c>
      <c r="F9" s="78">
        <v>62.713371000000002</v>
      </c>
      <c r="G9" s="78">
        <v>64.270572000000001</v>
      </c>
      <c r="H9" s="78">
        <v>50.936841000000001</v>
      </c>
      <c r="I9" s="79">
        <f t="shared" si="5"/>
        <v>-0.2074624604243448</v>
      </c>
      <c r="J9" s="78">
        <f t="shared" si="6"/>
        <v>44.487171199999999</v>
      </c>
      <c r="K9" s="79">
        <f t="shared" si="7"/>
        <v>0.14497819542187496</v>
      </c>
      <c r="L9" s="76" t="s">
        <v>58</v>
      </c>
      <c r="M9" s="92" t="s">
        <v>59</v>
      </c>
    </row>
    <row r="10" spans="1:13" x14ac:dyDescent="0.3">
      <c r="A10" s="143"/>
      <c r="B10" s="78" t="s">
        <v>430</v>
      </c>
      <c r="C10" s="92" t="s">
        <v>45</v>
      </c>
      <c r="D10" s="78">
        <v>0</v>
      </c>
      <c r="E10" s="78">
        <v>5.3099999999999996E-3</v>
      </c>
      <c r="F10" s="78">
        <v>7.5450000000000003E-2</v>
      </c>
      <c r="G10" s="78">
        <v>0</v>
      </c>
      <c r="H10" s="78">
        <v>0</v>
      </c>
      <c r="I10" s="79" t="str">
        <f t="shared" si="5"/>
        <v>N/A</v>
      </c>
      <c r="J10" s="78">
        <f t="shared" si="6"/>
        <v>1.6152E-2</v>
      </c>
      <c r="K10" s="79">
        <f t="shared" si="7"/>
        <v>-1</v>
      </c>
      <c r="L10" s="76" t="s">
        <v>58</v>
      </c>
      <c r="M10" s="92" t="s">
        <v>59</v>
      </c>
    </row>
    <row r="11" spans="1:13" x14ac:dyDescent="0.3">
      <c r="A11" s="93" t="s">
        <v>65</v>
      </c>
      <c r="B11" s="76" t="s">
        <v>57</v>
      </c>
      <c r="C11" s="92" t="s">
        <v>45</v>
      </c>
      <c r="D11" s="78">
        <v>103.98743898000001</v>
      </c>
      <c r="E11" s="78">
        <v>105.92654983000001</v>
      </c>
      <c r="F11" s="78">
        <v>123.66780653999999</v>
      </c>
      <c r="G11" s="78">
        <v>149.54159609999999</v>
      </c>
      <c r="H11" s="78">
        <v>158.88081207999997</v>
      </c>
      <c r="I11" s="79">
        <f t="shared" si="5"/>
        <v>6.2452295706104E-2</v>
      </c>
      <c r="J11" s="78">
        <f t="shared" si="6"/>
        <v>128.400840706</v>
      </c>
      <c r="K11" s="79">
        <f t="shared" si="7"/>
        <v>0.23738140035850774</v>
      </c>
      <c r="L11" s="76" t="s">
        <v>58</v>
      </c>
      <c r="M11" s="92" t="s">
        <v>59</v>
      </c>
    </row>
    <row r="12" spans="1:13" x14ac:dyDescent="0.3">
      <c r="A12" s="93" t="s">
        <v>61</v>
      </c>
      <c r="B12" s="76" t="s">
        <v>57</v>
      </c>
      <c r="C12" s="92" t="s">
        <v>45</v>
      </c>
      <c r="D12" s="78">
        <f>+D8-D11</f>
        <v>-99.275716980000013</v>
      </c>
      <c r="E12" s="78">
        <f t="shared" ref="E12:H12" si="8">+E8-E11</f>
        <v>-66.104540830000019</v>
      </c>
      <c r="F12" s="78">
        <f t="shared" si="8"/>
        <v>-60.864417539999984</v>
      </c>
      <c r="G12" s="78">
        <f t="shared" si="8"/>
        <v>-85.271024099999991</v>
      </c>
      <c r="H12" s="78">
        <f t="shared" si="8"/>
        <v>-107.94397107999997</v>
      </c>
      <c r="I12" s="79">
        <f t="shared" si="5"/>
        <v>0.26589274867170243</v>
      </c>
      <c r="J12" s="78">
        <f t="shared" si="6"/>
        <v>-83.891934105999994</v>
      </c>
      <c r="K12" s="79">
        <f t="shared" si="7"/>
        <v>0.28670261605376157</v>
      </c>
      <c r="L12" s="76" t="s">
        <v>58</v>
      </c>
      <c r="M12" s="92" t="s">
        <v>59</v>
      </c>
    </row>
    <row r="13" spans="1:13" x14ac:dyDescent="0.3">
      <c r="A13" s="143" t="s">
        <v>69</v>
      </c>
      <c r="B13" s="85" t="s">
        <v>57</v>
      </c>
      <c r="C13" s="92" t="s">
        <v>45</v>
      </c>
      <c r="D13" s="78">
        <v>34.622363</v>
      </c>
      <c r="E13" s="78">
        <v>224.64836199999999</v>
      </c>
      <c r="F13" s="78">
        <v>394.35313000000002</v>
      </c>
      <c r="G13" s="78">
        <v>360.41335600000002</v>
      </c>
      <c r="H13" s="78">
        <v>363.17120699999998</v>
      </c>
      <c r="I13" s="79">
        <f t="shared" si="0"/>
        <v>7.6519112127464428E-3</v>
      </c>
      <c r="J13" s="78">
        <f t="shared" si="1"/>
        <v>275.44168360000003</v>
      </c>
      <c r="K13" s="79">
        <f t="shared" si="2"/>
        <v>0.31850489095688905</v>
      </c>
      <c r="L13" s="76" t="s">
        <v>58</v>
      </c>
      <c r="M13" s="92" t="s">
        <v>59</v>
      </c>
    </row>
    <row r="14" spans="1:13" x14ac:dyDescent="0.3">
      <c r="A14" s="143"/>
      <c r="B14" s="89" t="s">
        <v>449</v>
      </c>
      <c r="C14" s="92" t="s">
        <v>45</v>
      </c>
      <c r="D14" s="78">
        <v>34.101270999999997</v>
      </c>
      <c r="E14" s="78">
        <v>224.629572</v>
      </c>
      <c r="F14" s="78">
        <v>394.19607999999999</v>
      </c>
      <c r="G14" s="78">
        <v>360.38338199999998</v>
      </c>
      <c r="H14" s="78">
        <v>363.10452299999997</v>
      </c>
      <c r="I14" s="79">
        <f t="shared" si="0"/>
        <v>7.550683899181454E-3</v>
      </c>
      <c r="J14" s="78">
        <f t="shared" si="1"/>
        <v>275.28296560000001</v>
      </c>
      <c r="K14" s="79">
        <f t="shared" si="2"/>
        <v>0.31902285420598497</v>
      </c>
      <c r="L14" s="76" t="s">
        <v>58</v>
      </c>
      <c r="M14" s="92" t="s">
        <v>59</v>
      </c>
    </row>
    <row r="15" spans="1:13" x14ac:dyDescent="0.3">
      <c r="A15" s="143"/>
      <c r="B15" s="89" t="s">
        <v>450</v>
      </c>
      <c r="C15" s="92" t="s">
        <v>45</v>
      </c>
      <c r="D15" s="78">
        <v>0.30632999999999999</v>
      </c>
      <c r="E15" s="78">
        <v>0</v>
      </c>
      <c r="F15" s="78">
        <v>0</v>
      </c>
      <c r="G15" s="78">
        <v>0</v>
      </c>
      <c r="H15" s="78">
        <v>0</v>
      </c>
      <c r="I15" s="79" t="str">
        <f t="shared" si="0"/>
        <v>N/A</v>
      </c>
      <c r="J15" s="78">
        <f t="shared" si="1"/>
        <v>6.1266000000000001E-2</v>
      </c>
      <c r="K15" s="79">
        <f t="shared" si="2"/>
        <v>-1</v>
      </c>
      <c r="L15" s="76" t="s">
        <v>58</v>
      </c>
      <c r="M15" s="92" t="s">
        <v>59</v>
      </c>
    </row>
    <row r="16" spans="1:13" x14ac:dyDescent="0.3">
      <c r="A16" s="143"/>
      <c r="B16" s="89" t="s">
        <v>447</v>
      </c>
      <c r="C16" s="92" t="s">
        <v>45</v>
      </c>
      <c r="D16" s="78">
        <v>0.21476200000000001</v>
      </c>
      <c r="E16" s="78">
        <v>0</v>
      </c>
      <c r="F16" s="78">
        <v>0</v>
      </c>
      <c r="G16" s="78">
        <v>0</v>
      </c>
      <c r="H16" s="78">
        <v>0</v>
      </c>
      <c r="I16" s="79" t="str">
        <f t="shared" si="0"/>
        <v>N/A</v>
      </c>
      <c r="J16" s="78">
        <f t="shared" si="1"/>
        <v>4.2952400000000002E-2</v>
      </c>
      <c r="K16" s="79">
        <f t="shared" si="2"/>
        <v>-1</v>
      </c>
      <c r="L16" s="76" t="s">
        <v>58</v>
      </c>
      <c r="M16" s="92" t="s">
        <v>59</v>
      </c>
    </row>
    <row r="17" spans="1:13" x14ac:dyDescent="0.3">
      <c r="A17" s="93" t="s">
        <v>60</v>
      </c>
      <c r="B17" s="85" t="s">
        <v>57</v>
      </c>
      <c r="C17" s="92" t="s">
        <v>45</v>
      </c>
      <c r="D17" s="78">
        <v>294.34535232999997</v>
      </c>
      <c r="E17" s="78">
        <v>281.68585337000002</v>
      </c>
      <c r="F17" s="78">
        <v>312.00420936</v>
      </c>
      <c r="G17" s="78">
        <v>388.82799635999999</v>
      </c>
      <c r="H17" s="78">
        <v>416.48933335000004</v>
      </c>
      <c r="I17" s="79">
        <f t="shared" si="0"/>
        <v>7.1140291462936656E-2</v>
      </c>
      <c r="J17" s="78">
        <f t="shared" si="1"/>
        <v>338.67054895399997</v>
      </c>
      <c r="K17" s="79">
        <f t="shared" si="2"/>
        <v>0.2297772411458483</v>
      </c>
      <c r="L17" s="76" t="s">
        <v>58</v>
      </c>
      <c r="M17" s="92" t="s">
        <v>59</v>
      </c>
    </row>
    <row r="18" spans="1:13" x14ac:dyDescent="0.3">
      <c r="A18" s="93" t="s">
        <v>61</v>
      </c>
      <c r="B18" s="85" t="s">
        <v>57</v>
      </c>
      <c r="C18" s="92" t="s">
        <v>45</v>
      </c>
      <c r="D18" s="78">
        <f>+D13-D17</f>
        <v>-259.72298932999996</v>
      </c>
      <c r="E18" s="78">
        <f>+E13-E17</f>
        <v>-57.037491370000026</v>
      </c>
      <c r="F18" s="78">
        <f>+F13-F17</f>
        <v>82.348920640000017</v>
      </c>
      <c r="G18" s="78">
        <f>+G13-G17</f>
        <v>-28.414640359999964</v>
      </c>
      <c r="H18" s="78">
        <f>+H13-H17</f>
        <v>-53.318126350000057</v>
      </c>
      <c r="I18" s="79">
        <f t="shared" si="0"/>
        <v>0.87643150412902582</v>
      </c>
      <c r="J18" s="78">
        <f t="shared" si="1"/>
        <v>-63.228865354000007</v>
      </c>
      <c r="K18" s="79">
        <f t="shared" si="2"/>
        <v>-0.15674390088312684</v>
      </c>
      <c r="L18" s="76" t="s">
        <v>58</v>
      </c>
      <c r="M18" s="92" t="s">
        <v>59</v>
      </c>
    </row>
    <row r="19" spans="1:13" x14ac:dyDescent="0.3">
      <c r="A19" s="13" t="s">
        <v>62</v>
      </c>
    </row>
    <row r="20" spans="1:13" x14ac:dyDescent="0.3">
      <c r="A20" s="13" t="s">
        <v>63</v>
      </c>
    </row>
  </sheetData>
  <mergeCells count="2">
    <mergeCell ref="A13:A16"/>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B1C-13CA-47FB-8CE0-90ACAC6A80A3}">
  <sheetPr codeName="Sheet5"/>
  <dimension ref="A1:M16"/>
  <sheetViews>
    <sheetView workbookViewId="0"/>
  </sheetViews>
  <sheetFormatPr defaultRowHeight="14.4" x14ac:dyDescent="0.3"/>
  <cols>
    <col min="1" max="1" width="17.5546875" customWidth="1"/>
    <col min="2" max="2" width="11.5546875" bestFit="1" customWidth="1"/>
    <col min="3" max="3" width="10" bestFit="1" customWidth="1"/>
  </cols>
  <sheetData>
    <row r="1" spans="1:13" x14ac:dyDescent="0.3">
      <c r="A1" s="111" t="s">
        <v>70</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404.62372719999996</v>
      </c>
      <c r="E3" s="78">
        <v>462.48915533921945</v>
      </c>
      <c r="F3" s="78">
        <v>387.95768500000003</v>
      </c>
      <c r="G3" s="78">
        <v>432.27334225605352</v>
      </c>
      <c r="H3" s="78">
        <v>499.73851500000001</v>
      </c>
      <c r="I3" s="79">
        <f t="shared" ref="I3:I14" si="0">IF(ISBLANK(H3),"N/A",IF(ISNA(H3/G3-1),"N/A",IF(ISERROR(H3/G3-1),"N/A",H3/G3-1)))</f>
        <v>0.15607062973590446</v>
      </c>
      <c r="J3" s="78">
        <f t="shared" ref="J3:J14" si="1">IF(ISBLANK(H3),"",IF(ISNA(AVERAGE(D3:H3)),"N/A",IF(ISERROR(AVERAGE(D3:H3)),"N/A",AVERAGE(D3:H3))))</f>
        <v>437.41648495905457</v>
      </c>
      <c r="K3" s="79">
        <f t="shared" ref="K3:K14" si="2">IF(ISBLANK(H3),"",IF(ISNA(H3/AVERAGE(D3:H3)-1),"N/A",IF(ISERROR(H3/AVERAGE(D3:H3)-1),"N/A",H3/AVERAGE(D3:H3)-1)))</f>
        <v>0.1424775521361048</v>
      </c>
      <c r="L3" s="76" t="s">
        <v>364</v>
      </c>
      <c r="M3" s="92" t="s">
        <v>365</v>
      </c>
    </row>
    <row r="4" spans="1:13" x14ac:dyDescent="0.3">
      <c r="A4" s="93" t="s">
        <v>46</v>
      </c>
      <c r="B4" s="85"/>
      <c r="C4" s="94" t="s">
        <v>47</v>
      </c>
      <c r="D4" s="98">
        <v>560.255</v>
      </c>
      <c r="E4" s="98">
        <v>459.822</v>
      </c>
      <c r="F4" s="98">
        <v>455</v>
      </c>
      <c r="G4" s="98">
        <v>454</v>
      </c>
      <c r="H4" s="98">
        <v>460</v>
      </c>
      <c r="I4" s="79">
        <f t="shared" si="0"/>
        <v>1.3215859030837107E-2</v>
      </c>
      <c r="J4" s="98">
        <f t="shared" si="1"/>
        <v>477.81540000000007</v>
      </c>
      <c r="K4" s="79">
        <f t="shared" si="2"/>
        <v>-3.7285110525948073E-2</v>
      </c>
      <c r="L4" s="76" t="s">
        <v>367</v>
      </c>
      <c r="M4" s="92" t="s">
        <v>366</v>
      </c>
    </row>
    <row r="5" spans="1:13" x14ac:dyDescent="0.3">
      <c r="A5" s="93" t="s">
        <v>48</v>
      </c>
      <c r="B5" s="85"/>
      <c r="C5" s="92" t="s">
        <v>49</v>
      </c>
      <c r="D5" s="83">
        <f t="shared" ref="D5:G5" si="3">+D6/D4</f>
        <v>2.4630195178980996</v>
      </c>
      <c r="E5" s="83">
        <f t="shared" si="3"/>
        <v>3.2189521162536807</v>
      </c>
      <c r="F5" s="83">
        <f t="shared" si="3"/>
        <v>2.941098901098901</v>
      </c>
      <c r="G5" s="83">
        <f t="shared" si="3"/>
        <v>2.6784140969162995</v>
      </c>
      <c r="H5" s="83">
        <f t="shared" ref="H5" si="4">+H6/H4</f>
        <v>2.9239130434782608</v>
      </c>
      <c r="I5" s="79">
        <f t="shared" si="0"/>
        <v>9.1658323798627039E-2</v>
      </c>
      <c r="J5" s="83">
        <f t="shared" si="1"/>
        <v>2.8450795351290479</v>
      </c>
      <c r="K5" s="79">
        <f t="shared" si="2"/>
        <v>2.7708718640667929E-2</v>
      </c>
      <c r="L5" s="76" t="s">
        <v>367</v>
      </c>
      <c r="M5" s="92" t="s">
        <v>366</v>
      </c>
    </row>
    <row r="6" spans="1:13" x14ac:dyDescent="0.3">
      <c r="A6" s="93" t="s">
        <v>50</v>
      </c>
      <c r="B6" s="76"/>
      <c r="C6" s="94" t="s">
        <v>51</v>
      </c>
      <c r="D6" s="98">
        <v>1379.9189999999999</v>
      </c>
      <c r="E6" s="98">
        <v>1480.145</v>
      </c>
      <c r="F6" s="98">
        <v>1338.2</v>
      </c>
      <c r="G6" s="98">
        <v>1216</v>
      </c>
      <c r="H6" s="98">
        <v>1345</v>
      </c>
      <c r="I6" s="79">
        <f t="shared" si="0"/>
        <v>0.10608552631578938</v>
      </c>
      <c r="J6" s="98">
        <f t="shared" si="1"/>
        <v>1351.8528000000001</v>
      </c>
      <c r="K6" s="79">
        <f t="shared" si="2"/>
        <v>-5.0691909651702227E-3</v>
      </c>
      <c r="L6" s="76" t="s">
        <v>367</v>
      </c>
      <c r="M6" s="92" t="s">
        <v>366</v>
      </c>
    </row>
    <row r="7" spans="1:13" x14ac:dyDescent="0.3">
      <c r="A7" s="93" t="s">
        <v>71</v>
      </c>
      <c r="B7" s="76"/>
      <c r="C7" s="92" t="s">
        <v>53</v>
      </c>
      <c r="D7" s="78">
        <v>329.33</v>
      </c>
      <c r="E7" s="78">
        <v>383.36</v>
      </c>
      <c r="F7" s="78">
        <v>455.13799999999998</v>
      </c>
      <c r="G7" s="78">
        <v>420</v>
      </c>
      <c r="H7" s="78">
        <v>360.38299999999998</v>
      </c>
      <c r="I7" s="79">
        <f t="shared" si="0"/>
        <v>-0.14194523809523818</v>
      </c>
      <c r="J7" s="78">
        <f t="shared" si="1"/>
        <v>389.6422</v>
      </c>
      <c r="K7" s="79">
        <f t="shared" si="2"/>
        <v>-7.5092482282463346E-2</v>
      </c>
      <c r="L7" s="99" t="s">
        <v>54</v>
      </c>
      <c r="M7" s="92" t="s">
        <v>55</v>
      </c>
    </row>
    <row r="8" spans="1:13" x14ac:dyDescent="0.3">
      <c r="A8" s="93" t="s">
        <v>370</v>
      </c>
      <c r="B8" s="76"/>
      <c r="C8" s="92" t="s">
        <v>53</v>
      </c>
      <c r="D8" s="78">
        <v>371.3</v>
      </c>
      <c r="E8" s="78">
        <v>406.95400000000001</v>
      </c>
      <c r="F8" s="78">
        <v>426.42200000000003</v>
      </c>
      <c r="G8" s="78">
        <v>414.06200000000001</v>
      </c>
      <c r="H8" s="78">
        <v>440.38900000000001</v>
      </c>
      <c r="I8" s="79">
        <f t="shared" ref="I8" si="5">IF(ISBLANK(H8),"N/A",IF(ISNA(H8/G8-1),"N/A",IF(ISERROR(H8/G8-1),"N/A",H8/G8-1)))</f>
        <v>6.3582265457829967E-2</v>
      </c>
      <c r="J8" s="78">
        <f t="shared" ref="J8" si="6">IF(ISBLANK(H8),"",IF(ISNA(AVERAGE(D8:H8)),"N/A",IF(ISERROR(AVERAGE(D8:H8)),"N/A",AVERAGE(D8:H8))))</f>
        <v>411.8254</v>
      </c>
      <c r="K8" s="79">
        <f t="shared" ref="K8" si="7">IF(ISBLANK(H8),"",IF(ISNA(H8/AVERAGE(D8:H8)-1),"N/A",IF(ISERROR(H8/AVERAGE(D8:H8)-1),"N/A",H8/AVERAGE(D8:H8)-1)))</f>
        <v>6.9358519411381714E-2</v>
      </c>
      <c r="L8" s="99" t="s">
        <v>54</v>
      </c>
      <c r="M8" s="92" t="s">
        <v>55</v>
      </c>
    </row>
    <row r="9" spans="1:13" x14ac:dyDescent="0.3">
      <c r="A9" s="143" t="s">
        <v>72</v>
      </c>
      <c r="B9" s="85" t="s">
        <v>57</v>
      </c>
      <c r="C9" s="92" t="s">
        <v>45</v>
      </c>
      <c r="D9" s="78">
        <v>68.766856000000004</v>
      </c>
      <c r="E9" s="78">
        <v>230.96991</v>
      </c>
      <c r="F9" s="78">
        <v>408.98327999999998</v>
      </c>
      <c r="G9" s="78">
        <v>184.140308</v>
      </c>
      <c r="H9" s="78">
        <v>320.161993</v>
      </c>
      <c r="I9" s="79">
        <f t="shared" si="0"/>
        <v>0.73868500860767528</v>
      </c>
      <c r="J9" s="78">
        <f t="shared" si="1"/>
        <v>242.60446939999997</v>
      </c>
      <c r="K9" s="79">
        <f t="shared" si="2"/>
        <v>0.31968711784994031</v>
      </c>
      <c r="L9" s="76" t="s">
        <v>58</v>
      </c>
      <c r="M9" s="92" t="s">
        <v>59</v>
      </c>
    </row>
    <row r="10" spans="1:13" x14ac:dyDescent="0.3">
      <c r="A10" s="143"/>
      <c r="B10" s="78" t="s">
        <v>426</v>
      </c>
      <c r="C10" s="92" t="s">
        <v>45</v>
      </c>
      <c r="D10" s="78">
        <v>51.637512999999998</v>
      </c>
      <c r="E10" s="78">
        <v>225.38706199999999</v>
      </c>
      <c r="F10" s="78">
        <v>347.59965499999998</v>
      </c>
      <c r="G10" s="78">
        <v>181.88128599999999</v>
      </c>
      <c r="H10" s="78">
        <v>298.27427699999998</v>
      </c>
      <c r="I10" s="79">
        <f t="shared" si="0"/>
        <v>0.63993934483177117</v>
      </c>
      <c r="J10" s="78">
        <f t="shared" si="1"/>
        <v>220.95595859999997</v>
      </c>
      <c r="K10" s="79">
        <f t="shared" si="2"/>
        <v>0.34992637849595432</v>
      </c>
      <c r="L10" s="76" t="s">
        <v>58</v>
      </c>
      <c r="M10" s="92" t="s">
        <v>59</v>
      </c>
    </row>
    <row r="11" spans="1:13" x14ac:dyDescent="0.3">
      <c r="A11" s="143"/>
      <c r="B11" s="78" t="s">
        <v>428</v>
      </c>
      <c r="C11" s="92" t="s">
        <v>45</v>
      </c>
      <c r="D11" s="78">
        <v>13.078875</v>
      </c>
      <c r="E11" s="78">
        <v>5.8000000000000003E-2</v>
      </c>
      <c r="F11" s="78">
        <v>57.389809</v>
      </c>
      <c r="G11" s="78">
        <v>0</v>
      </c>
      <c r="H11" s="78">
        <v>10.589565</v>
      </c>
      <c r="I11" s="79" t="str">
        <f t="shared" si="0"/>
        <v>N/A</v>
      </c>
      <c r="J11" s="78">
        <f t="shared" si="1"/>
        <v>16.223249800000001</v>
      </c>
      <c r="K11" s="79">
        <f t="shared" si="2"/>
        <v>-0.34725994294928508</v>
      </c>
      <c r="L11" s="76" t="s">
        <v>58</v>
      </c>
      <c r="M11" s="92" t="s">
        <v>59</v>
      </c>
    </row>
    <row r="12" spans="1:13" x14ac:dyDescent="0.3">
      <c r="A12" s="143"/>
      <c r="B12" s="78" t="s">
        <v>431</v>
      </c>
      <c r="C12" s="92" t="s">
        <v>45</v>
      </c>
      <c r="D12" s="78">
        <v>0</v>
      </c>
      <c r="E12" s="78">
        <v>0</v>
      </c>
      <c r="F12" s="78">
        <v>0</v>
      </c>
      <c r="G12" s="78">
        <v>0</v>
      </c>
      <c r="H12" s="78">
        <v>7.1204190000000001</v>
      </c>
      <c r="I12" s="79" t="str">
        <f t="shared" si="0"/>
        <v>N/A</v>
      </c>
      <c r="J12" s="78">
        <f t="shared" si="1"/>
        <v>1.4240838</v>
      </c>
      <c r="K12" s="79">
        <f t="shared" si="2"/>
        <v>4</v>
      </c>
      <c r="L12" s="76" t="s">
        <v>58</v>
      </c>
      <c r="M12" s="92" t="s">
        <v>59</v>
      </c>
    </row>
    <row r="13" spans="1:13" x14ac:dyDescent="0.3">
      <c r="A13" s="93" t="s">
        <v>73</v>
      </c>
      <c r="B13" s="85" t="s">
        <v>57</v>
      </c>
      <c r="C13" s="92" t="s">
        <v>45</v>
      </c>
      <c r="D13" s="78">
        <v>0</v>
      </c>
      <c r="E13" s="78">
        <v>1.2479100000000001E-3</v>
      </c>
      <c r="F13" s="78">
        <v>6.6449679999999997E-2</v>
      </c>
      <c r="G13" s="78">
        <v>0</v>
      </c>
      <c r="H13" s="78">
        <v>2.5429099999999998E-3</v>
      </c>
      <c r="I13" s="79" t="str">
        <f t="shared" si="0"/>
        <v>N/A</v>
      </c>
      <c r="J13" s="78">
        <f t="shared" si="1"/>
        <v>1.4048099999999999E-2</v>
      </c>
      <c r="K13" s="79">
        <f t="shared" si="2"/>
        <v>-0.81898548558168005</v>
      </c>
      <c r="L13" s="76" t="s">
        <v>58</v>
      </c>
      <c r="M13" s="92" t="s">
        <v>59</v>
      </c>
    </row>
    <row r="14" spans="1:13" x14ac:dyDescent="0.3">
      <c r="A14" s="93" t="s">
        <v>61</v>
      </c>
      <c r="B14" s="85" t="s">
        <v>57</v>
      </c>
      <c r="C14" s="92" t="s">
        <v>45</v>
      </c>
      <c r="D14" s="78">
        <f>+D9-D13</f>
        <v>68.766856000000004</v>
      </c>
      <c r="E14" s="78">
        <f t="shared" ref="E14:H14" si="8">+E9-E13</f>
        <v>230.96866209000001</v>
      </c>
      <c r="F14" s="78">
        <f t="shared" si="8"/>
        <v>408.91683031999997</v>
      </c>
      <c r="G14" s="78">
        <f t="shared" si="8"/>
        <v>184.140308</v>
      </c>
      <c r="H14" s="78">
        <f t="shared" si="8"/>
        <v>320.15945009000001</v>
      </c>
      <c r="I14" s="79">
        <f t="shared" si="0"/>
        <v>0.73867119897507716</v>
      </c>
      <c r="J14" s="78">
        <f t="shared" si="1"/>
        <v>242.59042130000003</v>
      </c>
      <c r="K14" s="79">
        <f t="shared" si="2"/>
        <v>0.31975305691923439</v>
      </c>
      <c r="L14" s="76" t="s">
        <v>58</v>
      </c>
      <c r="M14" s="92" t="s">
        <v>59</v>
      </c>
    </row>
    <row r="15" spans="1:13" x14ac:dyDescent="0.3">
      <c r="A15" s="13" t="s">
        <v>62</v>
      </c>
    </row>
    <row r="16" spans="1:13" x14ac:dyDescent="0.3">
      <c r="A16" s="13" t="s">
        <v>63</v>
      </c>
    </row>
  </sheetData>
  <mergeCells count="1">
    <mergeCell ref="A9:A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0788-9B1A-41E5-A896-84C137823FB8}">
  <sheetPr codeName="Sheet6"/>
  <dimension ref="A1:M15"/>
  <sheetViews>
    <sheetView workbookViewId="0"/>
  </sheetViews>
  <sheetFormatPr defaultRowHeight="14.4" x14ac:dyDescent="0.3"/>
  <cols>
    <col min="1" max="1" width="14.6640625" bestFit="1" customWidth="1"/>
    <col min="2" max="2" width="11.5546875" bestFit="1" customWidth="1"/>
    <col min="3" max="3" width="10" bestFit="1" customWidth="1"/>
    <col min="5" max="5" width="11.88671875" bestFit="1" customWidth="1"/>
  </cols>
  <sheetData>
    <row r="1" spans="1:13" x14ac:dyDescent="0.3">
      <c r="A1" s="111" t="s">
        <v>13</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492.84287260999997</v>
      </c>
      <c r="E3" s="78">
        <v>501.11580220965408</v>
      </c>
      <c r="F3" s="78">
        <v>432.85103800000002</v>
      </c>
      <c r="G3" s="78">
        <v>383.8099441056745</v>
      </c>
      <c r="H3" s="78">
        <v>1391.7195524901963</v>
      </c>
      <c r="I3" s="79">
        <f t="shared" ref="I3:I13" si="0">IF(ISBLANK(H3),"N/A",IF(ISNA(H3/G3-1),"N/A",IF(ISERROR(H3/G3-1),"N/A",H3/G3-1)))</f>
        <v>2.6260643421656988</v>
      </c>
      <c r="J3" s="78">
        <f t="shared" ref="J3:J13" si="1">IF(ISBLANK(H3),"",IF(ISNA(AVERAGE(D3:H3)),"N/A",IF(ISERROR(AVERAGE(D3:H3)),"N/A",AVERAGE(D3:H3))))</f>
        <v>640.46784188310505</v>
      </c>
      <c r="K3" s="79">
        <f t="shared" ref="K3:K13" si="2">IF(ISBLANK(H3),"",IF(ISNA(H3/AVERAGE(D3:H3)-1),"N/A",IF(ISERROR(H3/AVERAGE(D3:H3)-1),"N/A",H3/AVERAGE(D3:H3)-1)))</f>
        <v>1.1729733508528066</v>
      </c>
      <c r="L3" s="76" t="s">
        <v>364</v>
      </c>
      <c r="M3" s="92" t="s">
        <v>365</v>
      </c>
    </row>
    <row r="4" spans="1:13" x14ac:dyDescent="0.3">
      <c r="A4" s="93" t="s">
        <v>46</v>
      </c>
      <c r="B4" s="85"/>
      <c r="C4" s="94" t="s">
        <v>47</v>
      </c>
      <c r="D4" s="98">
        <v>509.839</v>
      </c>
      <c r="E4" s="98">
        <v>437</v>
      </c>
      <c r="F4" s="98">
        <v>340</v>
      </c>
      <c r="G4" s="98">
        <v>360</v>
      </c>
      <c r="H4" s="98">
        <v>915</v>
      </c>
      <c r="I4" s="79">
        <f t="shared" si="0"/>
        <v>1.5416666666666665</v>
      </c>
      <c r="J4" s="98">
        <f t="shared" si="1"/>
        <v>512.36779999999999</v>
      </c>
      <c r="K4" s="79">
        <f t="shared" si="2"/>
        <v>0.78582650978457269</v>
      </c>
      <c r="L4" s="76" t="s">
        <v>367</v>
      </c>
      <c r="M4" s="92" t="s">
        <v>366</v>
      </c>
    </row>
    <row r="5" spans="1:13" x14ac:dyDescent="0.3">
      <c r="A5" s="93" t="s">
        <v>48</v>
      </c>
      <c r="B5" s="85"/>
      <c r="C5" s="92" t="s">
        <v>49</v>
      </c>
      <c r="D5" s="83">
        <f t="shared" ref="D5:G5" si="3">+D6/D4</f>
        <v>1.6587000994431578</v>
      </c>
      <c r="E5" s="83">
        <f t="shared" si="3"/>
        <v>1.8026086956521739</v>
      </c>
      <c r="F5" s="83">
        <f t="shared" si="3"/>
        <v>1.3264705882352941</v>
      </c>
      <c r="G5" s="83">
        <f t="shared" si="3"/>
        <v>1.2333333333333334</v>
      </c>
      <c r="H5" s="83">
        <f t="shared" ref="H5" si="4">+H6/H4</f>
        <v>2.0907103825136613</v>
      </c>
      <c r="I5" s="79">
        <f t="shared" si="0"/>
        <v>0.69517058041648205</v>
      </c>
      <c r="J5" s="83">
        <f t="shared" si="1"/>
        <v>1.6223646198355239</v>
      </c>
      <c r="K5" s="79">
        <f t="shared" si="2"/>
        <v>0.28868095183536391</v>
      </c>
      <c r="L5" s="76" t="s">
        <v>367</v>
      </c>
      <c r="M5" s="92" t="s">
        <v>366</v>
      </c>
    </row>
    <row r="6" spans="1:13" x14ac:dyDescent="0.3">
      <c r="A6" s="93" t="s">
        <v>50</v>
      </c>
      <c r="B6" s="76"/>
      <c r="C6" s="94" t="s">
        <v>51</v>
      </c>
      <c r="D6" s="98">
        <v>845.67000000000007</v>
      </c>
      <c r="E6" s="98">
        <v>787.74</v>
      </c>
      <c r="F6" s="98">
        <v>451</v>
      </c>
      <c r="G6" s="98">
        <v>444</v>
      </c>
      <c r="H6" s="98">
        <v>1913</v>
      </c>
      <c r="I6" s="79">
        <f t="shared" si="0"/>
        <v>3.3085585585585582</v>
      </c>
      <c r="J6" s="98">
        <f t="shared" si="1"/>
        <v>888.28199999999993</v>
      </c>
      <c r="K6" s="79">
        <f t="shared" si="2"/>
        <v>1.1535953672369814</v>
      </c>
      <c r="L6" s="76" t="s">
        <v>367</v>
      </c>
      <c r="M6" s="92" t="s">
        <v>366</v>
      </c>
    </row>
    <row r="7" spans="1:13" x14ac:dyDescent="0.3">
      <c r="A7" s="93" t="s">
        <v>75</v>
      </c>
      <c r="B7" s="76"/>
      <c r="C7" s="92" t="s">
        <v>53</v>
      </c>
      <c r="D7" s="78">
        <v>592.98299999999995</v>
      </c>
      <c r="E7" s="78">
        <v>683.28300000000002</v>
      </c>
      <c r="F7" s="78">
        <v>626.05999999999995</v>
      </c>
      <c r="G7" s="78">
        <v>734.63300000000004</v>
      </c>
      <c r="H7" s="78">
        <v>855.4</v>
      </c>
      <c r="I7" s="79">
        <f t="shared" si="0"/>
        <v>0.16439092717043735</v>
      </c>
      <c r="J7" s="78">
        <f t="shared" si="1"/>
        <v>698.47180000000003</v>
      </c>
      <c r="K7" s="79">
        <f t="shared" si="2"/>
        <v>0.22467363750404812</v>
      </c>
      <c r="L7" s="99" t="s">
        <v>369</v>
      </c>
      <c r="M7" s="92" t="s">
        <v>368</v>
      </c>
    </row>
    <row r="8" spans="1:13" x14ac:dyDescent="0.3">
      <c r="A8" s="142" t="s">
        <v>56</v>
      </c>
      <c r="B8" s="85" t="s">
        <v>57</v>
      </c>
      <c r="C8" s="92" t="s">
        <v>45</v>
      </c>
      <c r="D8" s="78">
        <v>215.15496999999999</v>
      </c>
      <c r="E8" s="78">
        <v>190.50107299999999</v>
      </c>
      <c r="F8" s="78">
        <v>138.82560100000001</v>
      </c>
      <c r="G8" s="78">
        <v>163.10430299999999</v>
      </c>
      <c r="H8" s="78">
        <v>843.76084700000001</v>
      </c>
      <c r="I8" s="79">
        <f t="shared" si="0"/>
        <v>4.1731366461864594</v>
      </c>
      <c r="J8" s="78">
        <f t="shared" si="1"/>
        <v>310.26935880000002</v>
      </c>
      <c r="K8" s="79">
        <f t="shared" si="2"/>
        <v>1.7194462587712027</v>
      </c>
      <c r="L8" s="76" t="s">
        <v>58</v>
      </c>
      <c r="M8" s="92" t="s">
        <v>59</v>
      </c>
    </row>
    <row r="9" spans="1:13" x14ac:dyDescent="0.3">
      <c r="A9" s="142"/>
      <c r="B9" s="78" t="s">
        <v>432</v>
      </c>
      <c r="C9" s="92" t="s">
        <v>45</v>
      </c>
      <c r="D9" s="78">
        <v>0.80853299999999995</v>
      </c>
      <c r="E9" s="78">
        <v>0.79442699999999999</v>
      </c>
      <c r="F9" s="78">
        <v>0.714584</v>
      </c>
      <c r="G9" s="78">
        <v>13.232421</v>
      </c>
      <c r="H9" s="78">
        <v>574.10932300000002</v>
      </c>
      <c r="I9" s="79">
        <f t="shared" si="0"/>
        <v>42.38656720489773</v>
      </c>
      <c r="J9" s="78">
        <f t="shared" si="1"/>
        <v>117.93185760000001</v>
      </c>
      <c r="K9" s="79">
        <f t="shared" si="2"/>
        <v>3.8681444919426076</v>
      </c>
      <c r="L9" s="76" t="s">
        <v>58</v>
      </c>
      <c r="M9" s="92" t="s">
        <v>59</v>
      </c>
    </row>
    <row r="10" spans="1:13" x14ac:dyDescent="0.3">
      <c r="A10" s="142"/>
      <c r="B10" s="78" t="s">
        <v>433</v>
      </c>
      <c r="C10" s="92" t="s">
        <v>45</v>
      </c>
      <c r="D10" s="78">
        <v>41.505887999999999</v>
      </c>
      <c r="E10" s="78">
        <v>60.564587000000003</v>
      </c>
      <c r="F10" s="78">
        <v>17.843775999999998</v>
      </c>
      <c r="G10" s="78">
        <v>20.329758999999999</v>
      </c>
      <c r="H10" s="78">
        <v>70.230028000000004</v>
      </c>
      <c r="I10" s="79">
        <f t="shared" si="0"/>
        <v>2.4545430666443222</v>
      </c>
      <c r="J10" s="78">
        <f t="shared" si="1"/>
        <v>42.094807600000003</v>
      </c>
      <c r="K10" s="79">
        <f t="shared" si="2"/>
        <v>0.66837745565559969</v>
      </c>
      <c r="L10" s="76" t="s">
        <v>58</v>
      </c>
      <c r="M10" s="92" t="s">
        <v>59</v>
      </c>
    </row>
    <row r="11" spans="1:13" x14ac:dyDescent="0.3">
      <c r="A11" s="142"/>
      <c r="B11" s="78" t="s">
        <v>434</v>
      </c>
      <c r="C11" s="92" t="s">
        <v>45</v>
      </c>
      <c r="D11" s="78">
        <v>117.92167999999999</v>
      </c>
      <c r="E11" s="78">
        <v>46.779173</v>
      </c>
      <c r="F11" s="78">
        <v>76.582898999999998</v>
      </c>
      <c r="G11" s="78">
        <v>48.004652999999998</v>
      </c>
      <c r="H11" s="78">
        <v>55.659134999999999</v>
      </c>
      <c r="I11" s="79">
        <f t="shared" si="0"/>
        <v>0.15945291803275818</v>
      </c>
      <c r="J11" s="78">
        <f t="shared" si="1"/>
        <v>68.989508000000001</v>
      </c>
      <c r="K11" s="79">
        <f t="shared" si="2"/>
        <v>-0.19322319272084099</v>
      </c>
      <c r="L11" s="76" t="s">
        <v>58</v>
      </c>
      <c r="M11" s="92" t="s">
        <v>59</v>
      </c>
    </row>
    <row r="12" spans="1:13" x14ac:dyDescent="0.3">
      <c r="A12" s="93" t="s">
        <v>60</v>
      </c>
      <c r="B12" s="85" t="s">
        <v>57</v>
      </c>
      <c r="C12" s="92" t="s">
        <v>45</v>
      </c>
      <c r="D12" s="78">
        <v>15.576629969999999</v>
      </c>
      <c r="E12" s="78">
        <v>15.93127982</v>
      </c>
      <c r="F12" s="78">
        <v>13.8134792</v>
      </c>
      <c r="G12" s="78">
        <v>20.730481780000002</v>
      </c>
      <c r="H12" s="78">
        <v>16.577572180000001</v>
      </c>
      <c r="I12" s="79">
        <f t="shared" si="0"/>
        <v>-0.20032865825658586</v>
      </c>
      <c r="J12" s="78">
        <f t="shared" si="1"/>
        <v>16.525888590000001</v>
      </c>
      <c r="K12" s="79">
        <f t="shared" si="2"/>
        <v>3.1274318302783044E-3</v>
      </c>
      <c r="L12" s="76" t="s">
        <v>58</v>
      </c>
      <c r="M12" s="92" t="s">
        <v>59</v>
      </c>
    </row>
    <row r="13" spans="1:13" x14ac:dyDescent="0.3">
      <c r="A13" s="93" t="s">
        <v>61</v>
      </c>
      <c r="B13" s="85" t="s">
        <v>57</v>
      </c>
      <c r="C13" s="92" t="s">
        <v>45</v>
      </c>
      <c r="D13" s="78">
        <f t="shared" ref="D13:E13" si="5">+D8-D12</f>
        <v>199.57834002999999</v>
      </c>
      <c r="E13" s="78">
        <f t="shared" si="5"/>
        <v>174.56979317999998</v>
      </c>
      <c r="F13" s="78">
        <f>+F8-F12</f>
        <v>125.0121218</v>
      </c>
      <c r="G13" s="78">
        <f t="shared" ref="G13:H13" si="6">+G8-G12</f>
        <v>142.37382122</v>
      </c>
      <c r="H13" s="78">
        <f t="shared" si="6"/>
        <v>827.18327482000007</v>
      </c>
      <c r="I13" s="79">
        <f t="shared" si="0"/>
        <v>4.8099394097304824</v>
      </c>
      <c r="J13" s="78">
        <f t="shared" si="1"/>
        <v>293.74347021000005</v>
      </c>
      <c r="K13" s="79">
        <f t="shared" si="2"/>
        <v>1.8160056604105574</v>
      </c>
      <c r="L13" s="76" t="s">
        <v>58</v>
      </c>
      <c r="M13" s="92" t="s">
        <v>59</v>
      </c>
    </row>
    <row r="14" spans="1:13" x14ac:dyDescent="0.3">
      <c r="A14" s="13" t="s">
        <v>62</v>
      </c>
    </row>
    <row r="15" spans="1:13" x14ac:dyDescent="0.3">
      <c r="A15" s="13" t="s">
        <v>63</v>
      </c>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40CE-1980-491E-B017-771633FD54B9}">
  <sheetPr codeName="Sheet7"/>
  <dimension ref="A1:M16"/>
  <sheetViews>
    <sheetView workbookViewId="0"/>
  </sheetViews>
  <sheetFormatPr defaultRowHeight="14.4" x14ac:dyDescent="0.3"/>
  <cols>
    <col min="1" max="1" width="17.6640625" customWidth="1"/>
    <col min="9" max="9" width="10.6640625" customWidth="1"/>
  </cols>
  <sheetData>
    <row r="1" spans="1:13" x14ac:dyDescent="0.3">
      <c r="A1" s="111" t="s">
        <v>76</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887.90232959000002</v>
      </c>
      <c r="E3" s="78">
        <v>1773.1878917674599</v>
      </c>
      <c r="F3" s="78">
        <v>1731.683076</v>
      </c>
      <c r="G3" s="78">
        <v>1287.1489232600863</v>
      </c>
      <c r="H3" s="78">
        <v>1525.8539000000001</v>
      </c>
      <c r="I3" s="79">
        <f t="shared" ref="I3:I14" si="0">IF(ISBLANK(H3),"N/A",IF(ISNA(H3/G3-1),"N/A",IF(ISERROR(H3/G3-1),"N/A",H3/G3-1)))</f>
        <v>0.18545249304588829</v>
      </c>
      <c r="J3" s="78">
        <f t="shared" ref="J3:J14" si="1">IF(ISBLANK(H3),"",IF(ISNA(AVERAGE(D3:H3)),"N/A",IF(ISERROR(AVERAGE(D3:H3)),"N/A",AVERAGE(D3:H3))))</f>
        <v>1441.1552241235092</v>
      </c>
      <c r="K3" s="90">
        <f t="shared" ref="K3:K14" si="2">IF(ISBLANK(H3),"",IF(ISNA(H3/AVERAGE(D3:H3)-1),"N/A",IF(ISERROR(H3/AVERAGE(D3:H3)-1),"N/A",H3/AVERAGE(D3:H3)-1)))</f>
        <v>5.8771376225627225E-2</v>
      </c>
      <c r="L3" s="76" t="s">
        <v>364</v>
      </c>
      <c r="M3" s="92" t="s">
        <v>365</v>
      </c>
    </row>
    <row r="4" spans="1:13" x14ac:dyDescent="0.3">
      <c r="A4" s="93" t="s">
        <v>46</v>
      </c>
      <c r="B4" s="85"/>
      <c r="C4" s="94" t="s">
        <v>47</v>
      </c>
      <c r="D4" s="98">
        <v>731</v>
      </c>
      <c r="E4" s="98">
        <v>940.71</v>
      </c>
      <c r="F4" s="98">
        <v>900</v>
      </c>
      <c r="G4" s="98">
        <v>840</v>
      </c>
      <c r="H4" s="98">
        <v>980</v>
      </c>
      <c r="I4" s="79">
        <f t="shared" si="0"/>
        <v>0.16666666666666674</v>
      </c>
      <c r="J4" s="98">
        <f t="shared" si="1"/>
        <v>878.34199999999998</v>
      </c>
      <c r="K4" s="90">
        <f t="shared" si="2"/>
        <v>0.11573851643209587</v>
      </c>
      <c r="L4" s="76" t="s">
        <v>367</v>
      </c>
      <c r="M4" s="92" t="s">
        <v>366</v>
      </c>
    </row>
    <row r="5" spans="1:13" x14ac:dyDescent="0.3">
      <c r="A5" s="93" t="s">
        <v>77</v>
      </c>
      <c r="B5" s="85"/>
      <c r="C5" s="92" t="s">
        <v>49</v>
      </c>
      <c r="D5" s="80">
        <v>2.25</v>
      </c>
      <c r="E5" s="80">
        <v>2.25</v>
      </c>
      <c r="F5" s="80">
        <v>2.25</v>
      </c>
      <c r="G5" s="80">
        <v>2.25</v>
      </c>
      <c r="H5" s="80">
        <v>2.25</v>
      </c>
      <c r="I5" s="79">
        <f t="shared" si="0"/>
        <v>0</v>
      </c>
      <c r="J5" s="80">
        <f t="shared" si="1"/>
        <v>2.25</v>
      </c>
      <c r="K5" s="90">
        <f t="shared" si="2"/>
        <v>0</v>
      </c>
      <c r="L5" s="76" t="s">
        <v>367</v>
      </c>
      <c r="M5" s="92" t="s">
        <v>366</v>
      </c>
    </row>
    <row r="6" spans="1:13" x14ac:dyDescent="0.3">
      <c r="A6" s="93" t="s">
        <v>50</v>
      </c>
      <c r="B6" s="76"/>
      <c r="C6" s="94" t="s">
        <v>51</v>
      </c>
      <c r="D6" s="98">
        <v>1532.184</v>
      </c>
      <c r="E6" s="98">
        <v>2114.1439999999998</v>
      </c>
      <c r="F6" s="98">
        <v>1800</v>
      </c>
      <c r="G6" s="98">
        <v>1600</v>
      </c>
      <c r="H6" s="98">
        <v>1800</v>
      </c>
      <c r="I6" s="79">
        <f t="shared" si="0"/>
        <v>0.125</v>
      </c>
      <c r="J6" s="98">
        <f t="shared" si="1"/>
        <v>1769.2655999999999</v>
      </c>
      <c r="K6" s="90">
        <f t="shared" si="2"/>
        <v>1.7371275403760711E-2</v>
      </c>
      <c r="L6" s="76" t="s">
        <v>367</v>
      </c>
      <c r="M6" s="92" t="s">
        <v>366</v>
      </c>
    </row>
    <row r="7" spans="1:13" x14ac:dyDescent="0.3">
      <c r="A7" s="93" t="s">
        <v>78</v>
      </c>
      <c r="B7" s="76"/>
      <c r="C7" s="92" t="s">
        <v>53</v>
      </c>
      <c r="D7" s="78">
        <v>615.95600000000002</v>
      </c>
      <c r="E7" s="78">
        <v>880.00300000000004</v>
      </c>
      <c r="F7" s="78">
        <v>777.06299999999999</v>
      </c>
      <c r="G7" s="78">
        <v>680.07500000000005</v>
      </c>
      <c r="H7" s="78">
        <v>803.08100000000002</v>
      </c>
      <c r="I7" s="79">
        <f t="shared" si="0"/>
        <v>0.1808712274381501</v>
      </c>
      <c r="J7" s="78">
        <f t="shared" si="1"/>
        <v>751.23559999999998</v>
      </c>
      <c r="K7" s="90">
        <f t="shared" si="2"/>
        <v>6.9013502554990724E-2</v>
      </c>
      <c r="L7" s="99" t="s">
        <v>369</v>
      </c>
      <c r="M7" s="92" t="s">
        <v>368</v>
      </c>
    </row>
    <row r="8" spans="1:13" x14ac:dyDescent="0.3">
      <c r="A8" s="93" t="s">
        <v>79</v>
      </c>
      <c r="B8" s="76"/>
      <c r="C8" s="92" t="s">
        <v>53</v>
      </c>
      <c r="D8" s="78">
        <v>627.26599999999996</v>
      </c>
      <c r="E8" s="78">
        <v>685.34400000000005</v>
      </c>
      <c r="F8" s="78">
        <v>613.245</v>
      </c>
      <c r="G8" s="78" t="s">
        <v>74</v>
      </c>
      <c r="H8" s="78" t="s">
        <v>74</v>
      </c>
      <c r="I8" s="79" t="str">
        <f t="shared" si="0"/>
        <v>N/A</v>
      </c>
      <c r="J8" s="78">
        <f t="shared" si="1"/>
        <v>641.95166666666671</v>
      </c>
      <c r="K8" s="90" t="str">
        <f t="shared" si="2"/>
        <v>N/A</v>
      </c>
      <c r="L8" s="99" t="s">
        <v>80</v>
      </c>
      <c r="M8" s="92" t="s">
        <v>81</v>
      </c>
    </row>
    <row r="9" spans="1:13" x14ac:dyDescent="0.3">
      <c r="A9" s="144" t="s">
        <v>56</v>
      </c>
      <c r="B9" s="85" t="s">
        <v>57</v>
      </c>
      <c r="C9" s="92" t="s">
        <v>45</v>
      </c>
      <c r="D9" s="78">
        <v>448.80657000000002</v>
      </c>
      <c r="E9" s="78">
        <v>1007.001448</v>
      </c>
      <c r="F9" s="78">
        <v>866.21343899999999</v>
      </c>
      <c r="G9" s="78">
        <v>927.40707299999997</v>
      </c>
      <c r="H9" s="78">
        <v>1021.656737</v>
      </c>
      <c r="I9" s="79">
        <f t="shared" si="0"/>
        <v>0.10162707051081554</v>
      </c>
      <c r="J9" s="78">
        <f t="shared" si="1"/>
        <v>854.21705339999994</v>
      </c>
      <c r="K9" s="90">
        <f t="shared" si="2"/>
        <v>0.19601538383429329</v>
      </c>
      <c r="L9" s="76" t="s">
        <v>58</v>
      </c>
      <c r="M9" s="92" t="s">
        <v>59</v>
      </c>
    </row>
    <row r="10" spans="1:13" x14ac:dyDescent="0.3">
      <c r="A10" s="144"/>
      <c r="B10" s="78" t="s">
        <v>435</v>
      </c>
      <c r="C10" s="92" t="s">
        <v>45</v>
      </c>
      <c r="D10" s="78">
        <v>145.15274199999999</v>
      </c>
      <c r="E10" s="78">
        <v>208.82745</v>
      </c>
      <c r="F10" s="78">
        <v>310.64214099999998</v>
      </c>
      <c r="G10" s="78">
        <v>208.852645</v>
      </c>
      <c r="H10" s="78">
        <v>397.73939000000001</v>
      </c>
      <c r="I10" s="79">
        <f t="shared" si="0"/>
        <v>0.90440197681001377</v>
      </c>
      <c r="J10" s="78">
        <f t="shared" si="1"/>
        <v>254.2428736</v>
      </c>
      <c r="K10" s="90">
        <f t="shared" si="2"/>
        <v>0.5644072314324251</v>
      </c>
      <c r="L10" s="76" t="s">
        <v>58</v>
      </c>
      <c r="M10" s="92" t="s">
        <v>59</v>
      </c>
    </row>
    <row r="11" spans="1:13" x14ac:dyDescent="0.3">
      <c r="A11" s="144"/>
      <c r="B11" s="78" t="s">
        <v>436</v>
      </c>
      <c r="C11" s="92" t="s">
        <v>45</v>
      </c>
      <c r="D11" s="78">
        <v>124.311142</v>
      </c>
      <c r="E11" s="78">
        <v>454.89263799999998</v>
      </c>
      <c r="F11" s="78">
        <v>105.30793</v>
      </c>
      <c r="G11" s="78">
        <v>132.65999099999999</v>
      </c>
      <c r="H11" s="78">
        <v>203.25731200000001</v>
      </c>
      <c r="I11" s="79">
        <f t="shared" si="0"/>
        <v>0.53216738873440761</v>
      </c>
      <c r="J11" s="78">
        <f t="shared" si="1"/>
        <v>204.08580259999999</v>
      </c>
      <c r="K11" s="90">
        <f t="shared" si="2"/>
        <v>-4.0595209928628861E-3</v>
      </c>
      <c r="L11" s="76" t="s">
        <v>58</v>
      </c>
      <c r="M11" s="92" t="s">
        <v>59</v>
      </c>
    </row>
    <row r="12" spans="1:13" x14ac:dyDescent="0.3">
      <c r="A12" s="144"/>
      <c r="B12" s="78" t="s">
        <v>426</v>
      </c>
      <c r="C12" s="92" t="s">
        <v>45</v>
      </c>
      <c r="D12" s="78">
        <v>1.459657</v>
      </c>
      <c r="E12" s="78">
        <v>23.053308999999999</v>
      </c>
      <c r="F12" s="78">
        <v>100.391603</v>
      </c>
      <c r="G12" s="78">
        <v>153.87140600000001</v>
      </c>
      <c r="H12" s="78">
        <v>174.31992199999999</v>
      </c>
      <c r="I12" s="79">
        <f t="shared" si="0"/>
        <v>0.13289354098707573</v>
      </c>
      <c r="J12" s="78">
        <f t="shared" si="1"/>
        <v>90.619179400000007</v>
      </c>
      <c r="K12" s="90">
        <f t="shared" si="2"/>
        <v>0.92365372489788822</v>
      </c>
      <c r="L12" s="76" t="s">
        <v>58</v>
      </c>
      <c r="M12" s="92" t="s">
        <v>59</v>
      </c>
    </row>
    <row r="13" spans="1:13" x14ac:dyDescent="0.3">
      <c r="A13" s="93" t="s">
        <v>60</v>
      </c>
      <c r="B13" s="85" t="s">
        <v>57</v>
      </c>
      <c r="C13" s="92" t="s">
        <v>45</v>
      </c>
      <c r="D13" s="78">
        <v>11.732509179999999</v>
      </c>
      <c r="E13" s="78">
        <v>17.801829820000002</v>
      </c>
      <c r="F13" s="78">
        <v>23.497223810000001</v>
      </c>
      <c r="G13" s="78">
        <v>22.266487609999999</v>
      </c>
      <c r="H13" s="78">
        <v>27.02570991</v>
      </c>
      <c r="I13" s="79">
        <f t="shared" si="0"/>
        <v>0.21373924722023108</v>
      </c>
      <c r="J13" s="78">
        <f t="shared" si="1"/>
        <v>20.464752066000003</v>
      </c>
      <c r="K13" s="90">
        <f t="shared" si="2"/>
        <v>0.32059796389619244</v>
      </c>
      <c r="L13" s="76" t="s">
        <v>58</v>
      </c>
      <c r="M13" s="92" t="s">
        <v>59</v>
      </c>
    </row>
    <row r="14" spans="1:13" x14ac:dyDescent="0.3">
      <c r="A14" s="93" t="s">
        <v>61</v>
      </c>
      <c r="B14" s="85" t="s">
        <v>57</v>
      </c>
      <c r="C14" s="92" t="s">
        <v>45</v>
      </c>
      <c r="D14" s="78">
        <f>+D9-D13</f>
        <v>437.07406082</v>
      </c>
      <c r="E14" s="78">
        <f t="shared" ref="E14:H14" si="3">+E9-E13</f>
        <v>989.19961818000002</v>
      </c>
      <c r="F14" s="78">
        <f t="shared" si="3"/>
        <v>842.71621518999996</v>
      </c>
      <c r="G14" s="78">
        <f t="shared" si="3"/>
        <v>905.14058538999996</v>
      </c>
      <c r="H14" s="78">
        <f t="shared" si="3"/>
        <v>994.63102708999998</v>
      </c>
      <c r="I14" s="79">
        <f t="shared" si="0"/>
        <v>9.8869107345839646E-2</v>
      </c>
      <c r="J14" s="78">
        <f t="shared" si="1"/>
        <v>833.75230133399998</v>
      </c>
      <c r="K14" s="90">
        <f t="shared" si="2"/>
        <v>0.192957459306073</v>
      </c>
      <c r="L14" s="76" t="s">
        <v>58</v>
      </c>
      <c r="M14" s="92" t="s">
        <v>59</v>
      </c>
    </row>
    <row r="15" spans="1:13" x14ac:dyDescent="0.3">
      <c r="A15" s="13" t="s">
        <v>62</v>
      </c>
    </row>
    <row r="16" spans="1:13" x14ac:dyDescent="0.3">
      <c r="A16" s="13" t="s">
        <v>63</v>
      </c>
    </row>
  </sheetData>
  <mergeCells count="1">
    <mergeCell ref="A9:A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1F6-186B-4505-9F08-D4783BE22C3F}">
  <sheetPr codeName="Sheet8"/>
  <dimension ref="A1:M22"/>
  <sheetViews>
    <sheetView workbookViewId="0"/>
  </sheetViews>
  <sheetFormatPr defaultRowHeight="14.4" x14ac:dyDescent="0.3"/>
  <cols>
    <col min="1" max="1" width="19" customWidth="1"/>
    <col min="2" max="2" width="15.33203125" bestFit="1" customWidth="1"/>
    <col min="3" max="3" width="15.109375" bestFit="1" customWidth="1"/>
  </cols>
  <sheetData>
    <row r="1" spans="1:13" x14ac:dyDescent="0.3">
      <c r="A1" s="111" t="s">
        <v>15</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915.92335097</v>
      </c>
      <c r="E3" s="78">
        <v>2982.5056955388341</v>
      </c>
      <c r="F3" s="78">
        <v>2068.2578879705247</v>
      </c>
      <c r="G3" s="78">
        <v>2146.4453460342365</v>
      </c>
      <c r="H3" s="78">
        <v>1965.0584289799997</v>
      </c>
      <c r="I3" s="79">
        <f t="shared" ref="I3:I19" si="0">IF(ISBLANK(H3),"N/A",IF(ISNA(H3/G3-1),"N/A",IF(ISERROR(H3/G3-1),"N/A",H3/G3-1)))</f>
        <v>-8.4505723562617874E-2</v>
      </c>
      <c r="J3" s="78">
        <f t="shared" ref="J3:J19" si="1">IF(ISBLANK(H3),"",IF(ISNA(AVERAGE(D3:H3)),"N/A",IF(ISERROR(AVERAGE(D3:H3)),"N/A",AVERAGE(D3:H3))))</f>
        <v>2015.6381418987191</v>
      </c>
      <c r="K3" s="79">
        <f t="shared" ref="K3:K19" si="2">IF(ISBLANK(H3),"",IF(ISNA(H3/AVERAGE(D3:H3)-1),"N/A",IF(ISERROR(H3/AVERAGE(D3:H3)-1),"N/A",H3/AVERAGE(D3:H3)-1)))</f>
        <v>-2.509364744957332E-2</v>
      </c>
      <c r="L3" s="76" t="s">
        <v>364</v>
      </c>
      <c r="M3" s="92" t="s">
        <v>365</v>
      </c>
    </row>
    <row r="4" spans="1:13" x14ac:dyDescent="0.3">
      <c r="A4" s="93" t="s">
        <v>82</v>
      </c>
      <c r="B4" s="85"/>
      <c r="C4" s="94" t="s">
        <v>47</v>
      </c>
      <c r="D4" s="98">
        <v>192.76</v>
      </c>
      <c r="E4" s="98">
        <v>406.459</v>
      </c>
      <c r="F4" s="98">
        <v>340.04599999999999</v>
      </c>
      <c r="G4" s="98">
        <v>337.36200000000002</v>
      </c>
      <c r="H4" s="98">
        <v>335.988</v>
      </c>
      <c r="I4" s="79">
        <f t="shared" si="0"/>
        <v>-4.0727764241379472E-3</v>
      </c>
      <c r="J4" s="98">
        <f t="shared" si="1"/>
        <v>322.52300000000002</v>
      </c>
      <c r="K4" s="79">
        <f t="shared" si="2"/>
        <v>4.1748960539248259E-2</v>
      </c>
      <c r="L4" s="76" t="s">
        <v>367</v>
      </c>
      <c r="M4" s="92" t="s">
        <v>366</v>
      </c>
    </row>
    <row r="5" spans="1:13" x14ac:dyDescent="0.3">
      <c r="A5" s="93" t="s">
        <v>48</v>
      </c>
      <c r="B5" s="85"/>
      <c r="C5" s="92" t="s">
        <v>83</v>
      </c>
      <c r="D5" s="83">
        <f t="shared" ref="D5:G5" si="3">+D6/D4</f>
        <v>8.8034880287554866</v>
      </c>
      <c r="E5" s="83">
        <f t="shared" si="3"/>
        <v>9.0508231980482829</v>
      </c>
      <c r="F5" s="83">
        <f t="shared" si="3"/>
        <v>9.5153620185255576</v>
      </c>
      <c r="G5" s="83">
        <f t="shared" si="3"/>
        <v>10.240780586623025</v>
      </c>
      <c r="H5" s="83">
        <f t="shared" ref="H5" si="4">+H6/H4</f>
        <v>10.249566286691904</v>
      </c>
      <c r="I5" s="79">
        <f t="shared" si="0"/>
        <v>8.579131243524607E-4</v>
      </c>
      <c r="J5" s="83">
        <f t="shared" si="1"/>
        <v>9.5720040237288515</v>
      </c>
      <c r="K5" s="79">
        <f t="shared" si="2"/>
        <v>7.0785831397833343E-2</v>
      </c>
      <c r="L5" s="76" t="s">
        <v>367</v>
      </c>
      <c r="M5" s="92" t="s">
        <v>366</v>
      </c>
    </row>
    <row r="6" spans="1:13" x14ac:dyDescent="0.3">
      <c r="A6" s="93" t="s">
        <v>50</v>
      </c>
      <c r="B6" s="76"/>
      <c r="C6" s="94" t="s">
        <v>84</v>
      </c>
      <c r="D6" s="98">
        <v>1696.9603524229074</v>
      </c>
      <c r="E6" s="98">
        <v>3678.7885462555068</v>
      </c>
      <c r="F6" s="98">
        <v>3235.6607929515417</v>
      </c>
      <c r="G6" s="98">
        <v>3454.8502202643172</v>
      </c>
      <c r="H6" s="98">
        <v>3443.7312775330392</v>
      </c>
      <c r="I6" s="79">
        <f t="shared" si="0"/>
        <v>-3.2183573881322536E-3</v>
      </c>
      <c r="J6" s="98">
        <f t="shared" si="1"/>
        <v>3101.9982378854625</v>
      </c>
      <c r="K6" s="79">
        <f t="shared" si="2"/>
        <v>0.11016545253762811</v>
      </c>
      <c r="L6" s="76" t="s">
        <v>367</v>
      </c>
      <c r="M6" s="92" t="s">
        <v>366</v>
      </c>
    </row>
    <row r="7" spans="1:13" x14ac:dyDescent="0.3">
      <c r="A7" s="93" t="s">
        <v>52</v>
      </c>
      <c r="B7" s="76"/>
      <c r="C7" s="92" t="s">
        <v>85</v>
      </c>
      <c r="D7" s="78">
        <v>587.67349000000002</v>
      </c>
      <c r="E7" s="78">
        <v>747.49511000000007</v>
      </c>
      <c r="F7" s="78">
        <v>667.10306000000003</v>
      </c>
      <c r="G7" s="78">
        <v>648.39825999999994</v>
      </c>
      <c r="H7" s="78">
        <v>570.61897999999997</v>
      </c>
      <c r="I7" s="79">
        <f t="shared" si="0"/>
        <v>-0.11995602825954521</v>
      </c>
      <c r="J7" s="78">
        <f>IF(ISBLANK(G7),"",IF(ISNA(AVERAGE(D7:G7)),"N/A",IF(ISERROR(AVERAGE(D7:G7)),"N/A",AVERAGE(D7:G7))))</f>
        <v>662.66747999999995</v>
      </c>
      <c r="K7" s="79">
        <f>IF(ISBLANK(G7),"",IF(ISNA(G7/AVERAGE(D7:G7)-1),"N/A",IF(ISERROR(G7/AVERAGE(D7:G7)-1),"N/A",G7/AVERAGE(D7:G7)-1)))</f>
        <v>-2.1533001740179025E-2</v>
      </c>
      <c r="L7" s="99" t="s">
        <v>369</v>
      </c>
      <c r="M7" s="92" t="s">
        <v>368</v>
      </c>
    </row>
    <row r="8" spans="1:13" x14ac:dyDescent="0.3">
      <c r="A8" s="143" t="s">
        <v>64</v>
      </c>
      <c r="B8" s="76" t="s">
        <v>57</v>
      </c>
      <c r="C8" s="92" t="s">
        <v>45</v>
      </c>
      <c r="D8" s="78">
        <v>399.03586648096575</v>
      </c>
      <c r="E8" s="78">
        <v>1458.1097066482121</v>
      </c>
      <c r="F8" s="78">
        <v>2874.7860588486601</v>
      </c>
      <c r="G8" s="78">
        <v>2978.4672694642454</v>
      </c>
      <c r="H8" s="78">
        <v>2187.2768436911133</v>
      </c>
      <c r="I8" s="79">
        <f t="shared" ref="I8:I13" si="5">IF(ISBLANK(H8),"N/A",IF(ISNA(H8/G8-1),"N/A",IF(ISERROR(H8/G8-1),"N/A",H8/G8-1)))</f>
        <v>-0.26563677025581289</v>
      </c>
      <c r="J8" s="78">
        <f t="shared" ref="J8:J13" si="6">IF(ISBLANK(H8),"",IF(ISNA(AVERAGE(D8:H8)),"N/A",IF(ISERROR(AVERAGE(D8:H8)),"N/A",AVERAGE(D8:H8))))</f>
        <v>1979.5351490266396</v>
      </c>
      <c r="K8" s="79">
        <f t="shared" ref="K8:K13" si="7">IF(ISBLANK(H8),"",IF(ISNA(H8/AVERAGE(D8:H8)-1),"N/A",IF(ISERROR(H8/AVERAGE(D8:H8)-1),"N/A",H8/AVERAGE(D8:H8)-1)))</f>
        <v>0.1049446860120784</v>
      </c>
      <c r="L8" s="76" t="s">
        <v>58</v>
      </c>
      <c r="M8" s="92" t="s">
        <v>59</v>
      </c>
    </row>
    <row r="9" spans="1:13" x14ac:dyDescent="0.3">
      <c r="A9" s="143"/>
      <c r="B9" s="78" t="s">
        <v>426</v>
      </c>
      <c r="C9" s="92" t="s">
        <v>45</v>
      </c>
      <c r="D9" s="78">
        <v>128.09106400926612</v>
      </c>
      <c r="E9" s="78">
        <v>42.377546425131783</v>
      </c>
      <c r="F9" s="78">
        <v>112.73024603725807</v>
      </c>
      <c r="G9" s="78">
        <v>801.19156487192208</v>
      </c>
      <c r="H9" s="78">
        <v>625.86788455161206</v>
      </c>
      <c r="I9" s="79">
        <f t="shared" si="5"/>
        <v>-0.21882866471308537</v>
      </c>
      <c r="J9" s="78">
        <f t="shared" si="6"/>
        <v>342.05166117903798</v>
      </c>
      <c r="K9" s="79">
        <f t="shared" si="7"/>
        <v>0.82974665988836671</v>
      </c>
      <c r="L9" s="76" t="s">
        <v>58</v>
      </c>
      <c r="M9" s="92" t="s">
        <v>59</v>
      </c>
    </row>
    <row r="10" spans="1:13" x14ac:dyDescent="0.3">
      <c r="A10" s="143"/>
      <c r="B10" s="78" t="s">
        <v>424</v>
      </c>
      <c r="C10" s="92" t="s">
        <v>45</v>
      </c>
      <c r="D10" s="78">
        <v>112.58725512748728</v>
      </c>
      <c r="E10" s="78">
        <v>559.90501256563266</v>
      </c>
      <c r="F10" s="78">
        <v>1153.2767405969396</v>
      </c>
      <c r="G10" s="78">
        <v>983.37439696002934</v>
      </c>
      <c r="H10" s="78">
        <v>514.42515025637567</v>
      </c>
      <c r="I10" s="79">
        <f t="shared" si="5"/>
        <v>-0.47687762479209106</v>
      </c>
      <c r="J10" s="78">
        <f t="shared" si="6"/>
        <v>664.71371110129292</v>
      </c>
      <c r="K10" s="79">
        <f t="shared" si="7"/>
        <v>-0.22609517200408014</v>
      </c>
      <c r="L10" s="76" t="s">
        <v>58</v>
      </c>
      <c r="M10" s="92" t="s">
        <v>59</v>
      </c>
    </row>
    <row r="11" spans="1:13" x14ac:dyDescent="0.3">
      <c r="A11" s="143"/>
      <c r="B11" s="78" t="s">
        <v>432</v>
      </c>
      <c r="C11" s="92" t="s">
        <v>45</v>
      </c>
      <c r="D11" s="78">
        <v>19.094314272716797</v>
      </c>
      <c r="E11" s="78">
        <v>90.188970070705452</v>
      </c>
      <c r="F11" s="78">
        <v>242.82338198552472</v>
      </c>
      <c r="G11" s="78">
        <v>122.5813197747854</v>
      </c>
      <c r="H11" s="78">
        <v>275.21142029573599</v>
      </c>
      <c r="I11" s="79">
        <f t="shared" si="5"/>
        <v>1.2451334412239388</v>
      </c>
      <c r="J11" s="78">
        <f t="shared" si="6"/>
        <v>149.97988127989368</v>
      </c>
      <c r="K11" s="79">
        <f t="shared" si="7"/>
        <v>0.83498891949470333</v>
      </c>
      <c r="L11" s="76" t="s">
        <v>58</v>
      </c>
      <c r="M11" s="92" t="s">
        <v>59</v>
      </c>
    </row>
    <row r="12" spans="1:13" x14ac:dyDescent="0.3">
      <c r="A12" s="93" t="s">
        <v>65</v>
      </c>
      <c r="B12" s="76" t="s">
        <v>57</v>
      </c>
      <c r="C12" s="92" t="s">
        <v>45</v>
      </c>
      <c r="D12" s="78">
        <v>2.2016560000000001E-2</v>
      </c>
      <c r="E12" s="78">
        <v>5.7569799999999992E-3</v>
      </c>
      <c r="F12" s="78">
        <v>8.1355190000000008E-2</v>
      </c>
      <c r="G12" s="78">
        <v>0.16042394000000001</v>
      </c>
      <c r="H12" s="78">
        <v>0.11146807999999998</v>
      </c>
      <c r="I12" s="79">
        <f t="shared" si="5"/>
        <v>-0.30516555072765339</v>
      </c>
      <c r="J12" s="78">
        <f t="shared" si="6"/>
        <v>7.6204149999999998E-2</v>
      </c>
      <c r="K12" s="79">
        <f t="shared" si="7"/>
        <v>0.46275603100356055</v>
      </c>
      <c r="L12" s="76" t="s">
        <v>58</v>
      </c>
      <c r="M12" s="92" t="s">
        <v>59</v>
      </c>
    </row>
    <row r="13" spans="1:13" x14ac:dyDescent="0.3">
      <c r="A13" s="93" t="s">
        <v>61</v>
      </c>
      <c r="B13" s="76" t="s">
        <v>57</v>
      </c>
      <c r="C13" s="92" t="s">
        <v>45</v>
      </c>
      <c r="D13" s="78">
        <f>+D8-D12</f>
        <v>399.01384992096575</v>
      </c>
      <c r="E13" s="78">
        <f t="shared" ref="E13:H13" si="8">+E8-E12</f>
        <v>1458.1039496682122</v>
      </c>
      <c r="F13" s="78">
        <f t="shared" si="8"/>
        <v>2874.70470365866</v>
      </c>
      <c r="G13" s="78">
        <f t="shared" si="8"/>
        <v>2978.3068455242455</v>
      </c>
      <c r="H13" s="78">
        <f t="shared" si="8"/>
        <v>2187.1653756111132</v>
      </c>
      <c r="I13" s="79">
        <f t="shared" si="5"/>
        <v>-0.26563464107200629</v>
      </c>
      <c r="J13" s="78">
        <f t="shared" si="6"/>
        <v>1979.4589448766394</v>
      </c>
      <c r="K13" s="79">
        <f t="shared" si="7"/>
        <v>0.10493091118261022</v>
      </c>
      <c r="L13" s="76" t="s">
        <v>58</v>
      </c>
      <c r="M13" s="92" t="s">
        <v>59</v>
      </c>
    </row>
    <row r="14" spans="1:13" x14ac:dyDescent="0.3">
      <c r="A14" s="142" t="s">
        <v>69</v>
      </c>
      <c r="B14" s="85" t="s">
        <v>57</v>
      </c>
      <c r="C14" s="92" t="s">
        <v>45</v>
      </c>
      <c r="D14" s="78">
        <v>629.39747699999998</v>
      </c>
      <c r="E14" s="78">
        <v>2229.575519</v>
      </c>
      <c r="F14" s="78">
        <v>4902.160046</v>
      </c>
      <c r="G14" s="78">
        <v>4146.689574</v>
      </c>
      <c r="H14" s="78">
        <v>3440.2605779999999</v>
      </c>
      <c r="I14" s="79">
        <f t="shared" si="0"/>
        <v>-0.17035974923933384</v>
      </c>
      <c r="J14" s="78">
        <f t="shared" si="1"/>
        <v>3069.6166387999997</v>
      </c>
      <c r="K14" s="79">
        <f t="shared" si="2"/>
        <v>0.12074600277932279</v>
      </c>
      <c r="L14" s="76" t="s">
        <v>58</v>
      </c>
      <c r="M14" s="92" t="s">
        <v>59</v>
      </c>
    </row>
    <row r="15" spans="1:13" x14ac:dyDescent="0.3">
      <c r="A15" s="142"/>
      <c r="B15" s="78" t="s">
        <v>426</v>
      </c>
      <c r="C15" s="92" t="s">
        <v>45</v>
      </c>
      <c r="D15" s="78">
        <v>202.03745900000001</v>
      </c>
      <c r="E15" s="78">
        <v>64.798924</v>
      </c>
      <c r="F15" s="78">
        <v>192.23055099999999</v>
      </c>
      <c r="G15" s="78">
        <v>1115.437038</v>
      </c>
      <c r="H15" s="78">
        <v>987.09866199999999</v>
      </c>
      <c r="I15" s="79">
        <f t="shared" si="0"/>
        <v>-0.11505658466399249</v>
      </c>
      <c r="J15" s="78">
        <f t="shared" si="1"/>
        <v>512.32052679999993</v>
      </c>
      <c r="K15" s="79">
        <f t="shared" si="2"/>
        <v>0.9267208912465541</v>
      </c>
      <c r="L15" s="76" t="s">
        <v>58</v>
      </c>
      <c r="M15" s="92" t="s">
        <v>59</v>
      </c>
    </row>
    <row r="16" spans="1:13" x14ac:dyDescent="0.3">
      <c r="A16" s="142"/>
      <c r="B16" s="78" t="s">
        <v>424</v>
      </c>
      <c r="C16" s="92" t="s">
        <v>45</v>
      </c>
      <c r="D16" s="78">
        <v>177.583371</v>
      </c>
      <c r="E16" s="78">
        <v>856.14306199999999</v>
      </c>
      <c r="F16" s="78">
        <v>1966.5975289999999</v>
      </c>
      <c r="G16" s="78">
        <v>1369.076102</v>
      </c>
      <c r="H16" s="78">
        <v>804.59394499999996</v>
      </c>
      <c r="I16" s="79">
        <f t="shared" si="0"/>
        <v>-0.41230882357480525</v>
      </c>
      <c r="J16" s="78">
        <f t="shared" si="1"/>
        <v>1034.7988017999999</v>
      </c>
      <c r="K16" s="79">
        <f t="shared" si="2"/>
        <v>-0.22246339713533281</v>
      </c>
      <c r="L16" s="76" t="s">
        <v>58</v>
      </c>
      <c r="M16" s="92" t="s">
        <v>59</v>
      </c>
    </row>
    <row r="17" spans="1:13" x14ac:dyDescent="0.3">
      <c r="A17" s="142"/>
      <c r="B17" s="78" t="s">
        <v>425</v>
      </c>
      <c r="C17" s="92" t="s">
        <v>45</v>
      </c>
      <c r="D17" s="78">
        <v>82.344220000000007</v>
      </c>
      <c r="E17" s="78">
        <v>473.73883899999998</v>
      </c>
      <c r="F17" s="78">
        <v>531.55669999999998</v>
      </c>
      <c r="G17" s="78">
        <v>446.32576499999999</v>
      </c>
      <c r="H17" s="78">
        <v>362.63812000000001</v>
      </c>
      <c r="I17" s="79">
        <f t="shared" si="0"/>
        <v>-0.18750350430699414</v>
      </c>
      <c r="J17" s="78">
        <f t="shared" si="1"/>
        <v>379.32072880000004</v>
      </c>
      <c r="K17" s="79">
        <f t="shared" si="2"/>
        <v>-4.3980219200717818E-2</v>
      </c>
      <c r="L17" s="76" t="s">
        <v>58</v>
      </c>
      <c r="M17" s="92" t="s">
        <v>59</v>
      </c>
    </row>
    <row r="18" spans="1:13" x14ac:dyDescent="0.3">
      <c r="A18" s="93" t="s">
        <v>67</v>
      </c>
      <c r="B18" s="85" t="s">
        <v>57</v>
      </c>
      <c r="C18" s="92" t="s">
        <v>45</v>
      </c>
      <c r="D18" s="78">
        <v>0.32597077999999996</v>
      </c>
      <c r="E18" s="78">
        <v>0.48642308999999995</v>
      </c>
      <c r="F18" s="78">
        <v>0.7748507899999999</v>
      </c>
      <c r="G18" s="78">
        <v>0.81297454000000002</v>
      </c>
      <c r="H18" s="78">
        <v>1.0533091200000002</v>
      </c>
      <c r="I18" s="79">
        <f t="shared" si="0"/>
        <v>0.29562374733162033</v>
      </c>
      <c r="J18" s="78">
        <f t="shared" si="1"/>
        <v>0.690705664</v>
      </c>
      <c r="K18" s="79">
        <f t="shared" si="2"/>
        <v>0.52497536200890371</v>
      </c>
      <c r="L18" s="76" t="s">
        <v>58</v>
      </c>
      <c r="M18" s="92" t="s">
        <v>59</v>
      </c>
    </row>
    <row r="19" spans="1:13" x14ac:dyDescent="0.3">
      <c r="A19" s="93" t="s">
        <v>61</v>
      </c>
      <c r="B19" s="85" t="s">
        <v>57</v>
      </c>
      <c r="C19" s="92" t="s">
        <v>45</v>
      </c>
      <c r="D19" s="78">
        <f>+D14-D18</f>
        <v>629.07150621999995</v>
      </c>
      <c r="E19" s="78">
        <f t="shared" ref="E19:H19" si="9">+E14-E18</f>
        <v>2229.0890959100002</v>
      </c>
      <c r="F19" s="78">
        <f t="shared" si="9"/>
        <v>4901.3851952100003</v>
      </c>
      <c r="G19" s="78">
        <f t="shared" si="9"/>
        <v>4145.8765994599999</v>
      </c>
      <c r="H19" s="78">
        <f t="shared" si="9"/>
        <v>3439.2072688799999</v>
      </c>
      <c r="I19" s="79">
        <f t="shared" si="0"/>
        <v>-0.17045112502191784</v>
      </c>
      <c r="J19" s="78">
        <f t="shared" si="1"/>
        <v>3068.9259331359999</v>
      </c>
      <c r="K19" s="79">
        <f t="shared" si="2"/>
        <v>0.12065502518192939</v>
      </c>
      <c r="L19" s="76" t="s">
        <v>58</v>
      </c>
      <c r="M19" s="92" t="s">
        <v>59</v>
      </c>
    </row>
    <row r="20" spans="1:13" x14ac:dyDescent="0.3">
      <c r="A20" s="13" t="s">
        <v>62</v>
      </c>
    </row>
    <row r="21" spans="1:13" x14ac:dyDescent="0.3">
      <c r="A21" s="13" t="s">
        <v>63</v>
      </c>
    </row>
    <row r="22" spans="1:13" x14ac:dyDescent="0.3">
      <c r="A22" s="13" t="s">
        <v>380</v>
      </c>
    </row>
  </sheetData>
  <mergeCells count="2">
    <mergeCell ref="A14:A17"/>
    <mergeCell ref="A8: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383B-AD11-4324-97C5-6D9B2B533E3A}">
  <sheetPr codeName="Sheet9"/>
  <dimension ref="A1:M16"/>
  <sheetViews>
    <sheetView workbookViewId="0"/>
  </sheetViews>
  <sheetFormatPr defaultRowHeight="14.4" x14ac:dyDescent="0.3"/>
  <cols>
    <col min="1" max="1" width="13.6640625" bestFit="1" customWidth="1"/>
    <col min="2" max="2" width="16.44140625" bestFit="1" customWidth="1"/>
  </cols>
  <sheetData>
    <row r="1" spans="1:13" x14ac:dyDescent="0.3">
      <c r="A1" s="111" t="s">
        <v>16</v>
      </c>
      <c r="B1" s="111"/>
      <c r="C1" s="111"/>
      <c r="D1" s="111"/>
      <c r="E1" s="111"/>
      <c r="F1" s="111"/>
      <c r="G1" s="111"/>
      <c r="H1" s="111"/>
      <c r="I1" s="111"/>
      <c r="J1" s="111"/>
      <c r="K1" s="111"/>
      <c r="L1" s="111"/>
      <c r="M1" s="111"/>
    </row>
    <row r="2" spans="1:13" x14ac:dyDescent="0.3">
      <c r="A2" s="107" t="s">
        <v>36</v>
      </c>
      <c r="B2" s="108" t="s">
        <v>37</v>
      </c>
      <c r="C2" s="109" t="s">
        <v>38</v>
      </c>
      <c r="D2" s="108" t="str">
        <f>+'Gross Value of Production'!C1</f>
        <v>2020-21</v>
      </c>
      <c r="E2" s="108" t="str">
        <f>+'Gross Value of Production'!D1</f>
        <v>2021-22e</v>
      </c>
      <c r="F2" s="108" t="str">
        <f>+'Gross Value of Production'!E1</f>
        <v>2022-23e</v>
      </c>
      <c r="G2" s="108" t="str">
        <f>+'Gross Value of Production'!F1</f>
        <v>2023-24e</v>
      </c>
      <c r="H2" s="108" t="str">
        <f>+'Gross Value of Production'!G1</f>
        <v>2024-25e</v>
      </c>
      <c r="I2" s="110" t="s">
        <v>39</v>
      </c>
      <c r="J2" s="110" t="s">
        <v>40</v>
      </c>
      <c r="K2" s="110" t="s">
        <v>41</v>
      </c>
      <c r="L2" s="108" t="s">
        <v>42</v>
      </c>
      <c r="M2" s="109" t="s">
        <v>43</v>
      </c>
    </row>
    <row r="3" spans="1:13" x14ac:dyDescent="0.3">
      <c r="A3" s="93" t="s">
        <v>44</v>
      </c>
      <c r="B3" s="76"/>
      <c r="C3" s="92" t="s">
        <v>45</v>
      </c>
      <c r="D3" s="78">
        <v>73.535230040000002</v>
      </c>
      <c r="E3" s="78">
        <v>70.512253048307514</v>
      </c>
      <c r="F3" s="78">
        <v>55.988692</v>
      </c>
      <c r="G3" s="78">
        <v>87.136425326000008</v>
      </c>
      <c r="H3" s="78">
        <v>90.895544549999997</v>
      </c>
      <c r="I3" s="79">
        <f t="shared" ref="I3:I14" si="0">IF(ISBLANK(H3),"N/A",IF(ISNA(H3/G3-1),"N/A",IF(ISERROR(H3/G3-1),"N/A",H3/G3-1)))</f>
        <v>4.3140617829296346E-2</v>
      </c>
      <c r="J3" s="78">
        <f t="shared" ref="J3:J14" si="1">IF(ISBLANK(H3),"",IF(ISNA(AVERAGE(D3:H3)),"N/A",IF(ISERROR(AVERAGE(D3:H3)),"N/A",AVERAGE(D3:H3))))</f>
        <v>75.613628992861507</v>
      </c>
      <c r="K3" s="79">
        <f t="shared" ref="K3:K14" si="2">IF(ISBLANK(H3),"",IF(ISNA(H3/AVERAGE(D3:H3)-1),"N/A",IF(ISERROR(H3/AVERAGE(D3:H3)-1),"N/A",H3/AVERAGE(D3:H3)-1)))</f>
        <v>0.20210530509759317</v>
      </c>
      <c r="L3" s="76" t="s">
        <v>364</v>
      </c>
      <c r="M3" s="92" t="s">
        <v>365</v>
      </c>
    </row>
    <row r="4" spans="1:13" x14ac:dyDescent="0.3">
      <c r="A4" s="93" t="s">
        <v>87</v>
      </c>
      <c r="B4" s="85"/>
      <c r="C4" s="94" t="s">
        <v>47</v>
      </c>
      <c r="D4" s="84">
        <v>14.712</v>
      </c>
      <c r="E4" s="84">
        <v>13.923</v>
      </c>
      <c r="F4" s="84">
        <v>12.651</v>
      </c>
      <c r="G4" s="84">
        <v>12.29</v>
      </c>
      <c r="H4" s="84">
        <v>11.856999999999999</v>
      </c>
      <c r="I4" s="79">
        <f t="shared" si="0"/>
        <v>-3.5231895850284745E-2</v>
      </c>
      <c r="J4" s="84">
        <f t="shared" si="1"/>
        <v>13.086599999999999</v>
      </c>
      <c r="K4" s="79">
        <f t="shared" si="2"/>
        <v>-9.3958705851787339E-2</v>
      </c>
      <c r="L4" s="96" t="s">
        <v>381</v>
      </c>
      <c r="M4" s="95" t="s">
        <v>382</v>
      </c>
    </row>
    <row r="5" spans="1:13" x14ac:dyDescent="0.3">
      <c r="A5" s="93" t="s">
        <v>48</v>
      </c>
      <c r="B5" s="85"/>
      <c r="C5" s="92" t="s">
        <v>88</v>
      </c>
      <c r="D5" s="83">
        <f>+D6/D4</f>
        <v>118.54458945078848</v>
      </c>
      <c r="E5" s="83">
        <f>+E6/E4</f>
        <v>115.67212526036054</v>
      </c>
      <c r="F5" s="83">
        <f>+F6/F4</f>
        <v>105.06869022211683</v>
      </c>
      <c r="G5" s="83">
        <f>+G6/G4</f>
        <v>98.351017087062658</v>
      </c>
      <c r="H5" s="83">
        <f>+H6/H4</f>
        <v>127.75997301172303</v>
      </c>
      <c r="I5" s="79">
        <f t="shared" si="0"/>
        <v>0.29902035378675218</v>
      </c>
      <c r="J5" s="83">
        <f t="shared" si="1"/>
        <v>113.0792790064103</v>
      </c>
      <c r="K5" s="79">
        <f t="shared" si="2"/>
        <v>0.12982656180961771</v>
      </c>
      <c r="L5" s="96" t="s">
        <v>381</v>
      </c>
      <c r="M5" s="95" t="s">
        <v>382</v>
      </c>
    </row>
    <row r="6" spans="1:13" x14ac:dyDescent="0.3">
      <c r="A6" s="93" t="s">
        <v>50</v>
      </c>
      <c r="B6" s="76"/>
      <c r="C6" s="94" t="s">
        <v>89</v>
      </c>
      <c r="D6" s="98">
        <v>1744.028</v>
      </c>
      <c r="E6" s="98">
        <v>1610.5029999999999</v>
      </c>
      <c r="F6" s="98">
        <v>1329.2239999999999</v>
      </c>
      <c r="G6" s="98">
        <v>1208.7339999999999</v>
      </c>
      <c r="H6" s="98">
        <v>1514.85</v>
      </c>
      <c r="I6" s="79">
        <f t="shared" si="0"/>
        <v>0.25325340397473717</v>
      </c>
      <c r="J6" s="98">
        <f t="shared" si="1"/>
        <v>1481.4677999999999</v>
      </c>
      <c r="K6" s="79">
        <f t="shared" si="2"/>
        <v>2.2533193094038229E-2</v>
      </c>
      <c r="L6" s="96" t="s">
        <v>381</v>
      </c>
      <c r="M6" s="95" t="s">
        <v>382</v>
      </c>
    </row>
    <row r="7" spans="1:13" x14ac:dyDescent="0.3">
      <c r="A7" s="93" t="s">
        <v>90</v>
      </c>
      <c r="B7" s="76"/>
      <c r="C7" s="94" t="s">
        <v>91</v>
      </c>
      <c r="D7" s="98">
        <v>210.10300000000001</v>
      </c>
      <c r="E7" s="98">
        <v>200.852</v>
      </c>
      <c r="F7" s="84">
        <v>158.80000000000001</v>
      </c>
      <c r="G7" s="84">
        <v>158.43700000000001</v>
      </c>
      <c r="H7" s="84">
        <v>179.114</v>
      </c>
      <c r="I7" s="79">
        <f t="shared" si="0"/>
        <v>0.13050613177477488</v>
      </c>
      <c r="J7" s="84">
        <f t="shared" si="1"/>
        <v>181.46120000000002</v>
      </c>
      <c r="K7" s="79">
        <f t="shared" si="2"/>
        <v>-1.2934996572270041E-2</v>
      </c>
      <c r="L7" s="96" t="s">
        <v>381</v>
      </c>
      <c r="M7" s="95" t="s">
        <v>382</v>
      </c>
    </row>
    <row r="8" spans="1:13" x14ac:dyDescent="0.3">
      <c r="A8" s="93" t="s">
        <v>52</v>
      </c>
      <c r="B8" s="76"/>
      <c r="C8" s="92" t="s">
        <v>53</v>
      </c>
      <c r="D8" s="78">
        <v>41.26</v>
      </c>
      <c r="E8" s="78">
        <v>48.033999999999999</v>
      </c>
      <c r="F8" s="78">
        <v>51.628999999999998</v>
      </c>
      <c r="G8" s="78">
        <v>72.088999999999999</v>
      </c>
      <c r="H8" s="78">
        <v>60.003</v>
      </c>
      <c r="I8" s="79">
        <f t="shared" si="0"/>
        <v>-0.16765387229674433</v>
      </c>
      <c r="J8" s="78">
        <f t="shared" si="1"/>
        <v>54.602999999999994</v>
      </c>
      <c r="K8" s="79">
        <f t="shared" si="2"/>
        <v>9.8895665073347683E-2</v>
      </c>
      <c r="L8" s="99" t="s">
        <v>369</v>
      </c>
      <c r="M8" s="92" t="s">
        <v>368</v>
      </c>
    </row>
    <row r="9" spans="1:13" x14ac:dyDescent="0.3">
      <c r="A9" s="144" t="s">
        <v>56</v>
      </c>
      <c r="B9" s="85" t="s">
        <v>57</v>
      </c>
      <c r="C9" s="92" t="s">
        <v>45</v>
      </c>
      <c r="D9" s="78">
        <v>1.7270749999999999</v>
      </c>
      <c r="E9" s="78">
        <v>2.3368959999999999</v>
      </c>
      <c r="F9" s="78">
        <v>3.1451370000000001</v>
      </c>
      <c r="G9" s="78">
        <v>4.6424919999999998</v>
      </c>
      <c r="H9" s="78">
        <v>4.1621249999999996</v>
      </c>
      <c r="I9" s="79">
        <f t="shared" si="0"/>
        <v>-0.10347179919750005</v>
      </c>
      <c r="J9" s="78">
        <f t="shared" si="1"/>
        <v>3.2027450000000002</v>
      </c>
      <c r="K9" s="79">
        <f t="shared" si="2"/>
        <v>0.29954929287220788</v>
      </c>
      <c r="L9" s="76" t="s">
        <v>58</v>
      </c>
      <c r="M9" s="92" t="s">
        <v>59</v>
      </c>
    </row>
    <row r="10" spans="1:13" x14ac:dyDescent="0.3">
      <c r="A10" s="144"/>
      <c r="B10" s="78" t="s">
        <v>437</v>
      </c>
      <c r="C10" s="92" t="s">
        <v>45</v>
      </c>
      <c r="D10" s="78">
        <v>1.4304140000000001</v>
      </c>
      <c r="E10" s="78">
        <v>1.6573450000000001</v>
      </c>
      <c r="F10" s="78">
        <v>2.1977730000000002</v>
      </c>
      <c r="G10" s="78">
        <v>2.4304199999999998</v>
      </c>
      <c r="H10" s="78">
        <v>2.4227850000000002</v>
      </c>
      <c r="I10" s="79">
        <f t="shared" si="0"/>
        <v>-3.1414323450266179E-3</v>
      </c>
      <c r="J10" s="78">
        <f t="shared" si="1"/>
        <v>2.0277474</v>
      </c>
      <c r="K10" s="79">
        <f t="shared" si="2"/>
        <v>0.19481598151722457</v>
      </c>
      <c r="L10" s="76" t="s">
        <v>58</v>
      </c>
      <c r="M10" s="92" t="s">
        <v>59</v>
      </c>
    </row>
    <row r="11" spans="1:13" x14ac:dyDescent="0.3">
      <c r="A11" s="144"/>
      <c r="B11" s="78" t="s">
        <v>438</v>
      </c>
      <c r="C11" s="92" t="s">
        <v>45</v>
      </c>
      <c r="D11" s="78">
        <v>6.6480000000000003E-3</v>
      </c>
      <c r="E11" s="78">
        <v>1.1076000000000001E-2</v>
      </c>
      <c r="F11" s="78">
        <v>0.218699</v>
      </c>
      <c r="G11" s="78">
        <v>0.474221</v>
      </c>
      <c r="H11" s="78">
        <v>0.46701500000000001</v>
      </c>
      <c r="I11" s="79">
        <f t="shared" si="0"/>
        <v>-1.5195446848621175E-2</v>
      </c>
      <c r="J11" s="78">
        <f t="shared" si="1"/>
        <v>0.23553180000000001</v>
      </c>
      <c r="K11" s="79">
        <f t="shared" si="2"/>
        <v>0.98281081365658474</v>
      </c>
      <c r="L11" s="76" t="s">
        <v>58</v>
      </c>
      <c r="M11" s="92" t="s">
        <v>59</v>
      </c>
    </row>
    <row r="12" spans="1:13" x14ac:dyDescent="0.3">
      <c r="A12" s="144"/>
      <c r="B12" s="78" t="s">
        <v>439</v>
      </c>
      <c r="C12" s="92" t="s">
        <v>45</v>
      </c>
      <c r="D12" s="78">
        <v>6.2000000000000003E-5</v>
      </c>
      <c r="E12" s="78">
        <v>0.14499999999999999</v>
      </c>
      <c r="F12" s="78">
        <v>4.0651E-2</v>
      </c>
      <c r="G12" s="78">
        <v>0.61473</v>
      </c>
      <c r="H12" s="78">
        <v>0.40768399999999999</v>
      </c>
      <c r="I12" s="79">
        <f t="shared" si="0"/>
        <v>-0.33680802954142475</v>
      </c>
      <c r="J12" s="78">
        <f t="shared" si="1"/>
        <v>0.24162539999999999</v>
      </c>
      <c r="K12" s="79">
        <f t="shared" si="2"/>
        <v>0.68725638943587897</v>
      </c>
      <c r="L12" s="76" t="s">
        <v>58</v>
      </c>
      <c r="M12" s="92" t="s">
        <v>59</v>
      </c>
    </row>
    <row r="13" spans="1:13" x14ac:dyDescent="0.3">
      <c r="A13" s="93" t="s">
        <v>60</v>
      </c>
      <c r="B13" s="85" t="s">
        <v>57</v>
      </c>
      <c r="C13" s="92" t="s">
        <v>45</v>
      </c>
      <c r="D13" s="78">
        <v>3.3358472300000002</v>
      </c>
      <c r="E13" s="78">
        <v>2.81155548</v>
      </c>
      <c r="F13" s="78">
        <v>3.8991612899999999</v>
      </c>
      <c r="G13" s="78">
        <v>4.6646397000000004</v>
      </c>
      <c r="H13" s="78">
        <v>5.5659791600000004</v>
      </c>
      <c r="I13" s="79">
        <f t="shared" si="0"/>
        <v>0.19322809862463752</v>
      </c>
      <c r="J13" s="78">
        <f t="shared" si="1"/>
        <v>4.0554365719999996</v>
      </c>
      <c r="K13" s="79">
        <f t="shared" si="2"/>
        <v>0.3724734837253425</v>
      </c>
      <c r="L13" s="76" t="s">
        <v>58</v>
      </c>
      <c r="M13" s="92" t="s">
        <v>59</v>
      </c>
    </row>
    <row r="14" spans="1:13" x14ac:dyDescent="0.3">
      <c r="A14" s="93" t="s">
        <v>61</v>
      </c>
      <c r="B14" s="85" t="s">
        <v>57</v>
      </c>
      <c r="C14" s="92" t="s">
        <v>45</v>
      </c>
      <c r="D14" s="78">
        <f>+D9-D13</f>
        <v>-1.6087722300000002</v>
      </c>
      <c r="E14" s="78">
        <f t="shared" ref="E14:H14" si="3">+E9-E13</f>
        <v>-0.47465948000000013</v>
      </c>
      <c r="F14" s="78">
        <f t="shared" si="3"/>
        <v>-0.75402428999999982</v>
      </c>
      <c r="G14" s="78">
        <f t="shared" si="3"/>
        <v>-2.2147700000000548E-2</v>
      </c>
      <c r="H14" s="78">
        <f t="shared" si="3"/>
        <v>-1.4038541600000007</v>
      </c>
      <c r="I14" s="79">
        <f t="shared" si="0"/>
        <v>62.386002158236117</v>
      </c>
      <c r="J14" s="78">
        <f t="shared" si="1"/>
        <v>-0.85269157200000012</v>
      </c>
      <c r="K14" s="79">
        <f t="shared" si="2"/>
        <v>0.64637977681336878</v>
      </c>
      <c r="L14" s="76" t="s">
        <v>58</v>
      </c>
      <c r="M14" s="92" t="s">
        <v>59</v>
      </c>
    </row>
    <row r="15" spans="1:13" x14ac:dyDescent="0.3">
      <c r="A15" s="13" t="s">
        <v>62</v>
      </c>
    </row>
    <row r="16" spans="1:13" x14ac:dyDescent="0.3">
      <c r="A16" s="13" t="s">
        <v>63</v>
      </c>
    </row>
  </sheetData>
  <mergeCells count="1">
    <mergeCell ref="A9: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 xmlns="0da7b1cd-1cea-4c06-abc5-537787b1b50c" xsi:nil="true"/>
    <_ip_UnifiedCompliancePolicyProperties xmlns="http://schemas.microsoft.com/sharepoint/v3" xsi:nil="true"/>
    <lcf76f155ced4ddcb4097134ff3c332f xmlns="0da7b1cd-1cea-4c06-abc5-537787b1b50c">
      <Terms xmlns="http://schemas.microsoft.com/office/infopath/2007/PartnerControls"/>
    </lcf76f155ced4ddcb4097134ff3c332f>
    <CM10Reference xmlns="0da7b1cd-1cea-4c06-abc5-537787b1b50c" xsi:nil="true"/>
    <TaxCatchAll xmlns="6ad3194e-372e-4eb0-9b94-b90f331bb54e" xsi:nil="true"/>
    <FileInformation xmlns="0da7b1cd-1cea-4c06-abc5-537787b1b5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34A55975AF3C4E85DF837E2A36A473" ma:contentTypeVersion="24" ma:contentTypeDescription="Create a new document." ma:contentTypeScope="" ma:versionID="8e05221b8de768d5555253b96389a969">
  <xsd:schema xmlns:xsd="http://www.w3.org/2001/XMLSchema" xmlns:xs="http://www.w3.org/2001/XMLSchema" xmlns:p="http://schemas.microsoft.com/office/2006/metadata/properties" xmlns:ns1="http://schemas.microsoft.com/sharepoint/v3" xmlns:ns2="0da7b1cd-1cea-4c06-abc5-537787b1b50c" xmlns:ns3="6ad3194e-372e-4eb0-9b94-b90f331bb54e" targetNamespace="http://schemas.microsoft.com/office/2006/metadata/properties" ma:root="true" ma:fieldsID="8b5bad8825955d6cb2be4f17c2e8e6ca" ns1:_="" ns2:_="" ns3:_="">
    <xsd:import namespace="http://schemas.microsoft.com/sharepoint/v3"/>
    <xsd:import namespace="0da7b1cd-1cea-4c06-abc5-537787b1b50c"/>
    <xsd:import namespace="6ad3194e-372e-4eb0-9b94-b90f331bb5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CM10Reference" minOccurs="0"/>
                <xsd:element ref="ns2:Notes" minOccurs="0"/>
                <xsd:element ref="ns2:FileInform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7b1cd-1cea-4c06-abc5-537787b1b5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CM10Reference" ma:index="28" nillable="true" ma:displayName="CM10 Reference" ma:format="Dropdown" ma:internalName="CM10Reference">
      <xsd:simpleType>
        <xsd:restriction base="dms:Text">
          <xsd:maxLength value="255"/>
        </xsd:restriction>
      </xsd:simpleType>
    </xsd:element>
    <xsd:element name="Notes" ma:index="29" nillable="true" ma:displayName="Notes" ma:description="Notes on the file" ma:format="Dropdown" ma:internalName="Notes">
      <xsd:simpleType>
        <xsd:restriction base="dms:Note">
          <xsd:maxLength value="255"/>
        </xsd:restriction>
      </xsd:simpleType>
    </xsd:element>
    <xsd:element name="FileInformation" ma:index="30" nillable="true" ma:displayName="File Information" ma:format="Dropdown" ma:internalName="FileInformation">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3194e-372e-4eb0-9b94-b90f331bb5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281132-f389-400c-9012-1ce20b19f45b}" ma:internalName="TaxCatchAll" ma:showField="CatchAllData" ma:web="6ad3194e-372e-4eb0-9b94-b90f331bb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2718B-F2EC-4B6B-A433-7223303BE311}">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ad3194e-372e-4eb0-9b94-b90f331bb54e"/>
    <ds:schemaRef ds:uri="0da7b1cd-1cea-4c06-abc5-537787b1b50c"/>
    <ds:schemaRef ds:uri="http://www.w3.org/XML/1998/namespace"/>
    <ds:schemaRef ds:uri="http://purl.org/dc/elements/1.1/"/>
  </ds:schemaRefs>
</ds:datastoreItem>
</file>

<file path=customXml/itemProps2.xml><?xml version="1.0" encoding="utf-8"?>
<ds:datastoreItem xmlns:ds="http://schemas.openxmlformats.org/officeDocument/2006/customXml" ds:itemID="{E69DD456-9D1D-4133-9B98-2FA143377673}">
  <ds:schemaRefs>
    <ds:schemaRef ds:uri="http://schemas.microsoft.com/sharepoint/v3/contenttype/forms"/>
  </ds:schemaRefs>
</ds:datastoreItem>
</file>

<file path=customXml/itemProps3.xml><?xml version="1.0" encoding="utf-8"?>
<ds:datastoreItem xmlns:ds="http://schemas.openxmlformats.org/officeDocument/2006/customXml" ds:itemID="{24D37616-B7E9-426C-BB4F-1ADC16C3A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a7b1cd-1cea-4c06-abc5-537787b1b50c"/>
    <ds:schemaRef ds:uri="6ad3194e-372e-4eb0-9b94-b90f331bb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 Sheet</vt:lpstr>
      <vt:lpstr>Wheat</vt:lpstr>
      <vt:lpstr>Barley</vt:lpstr>
      <vt:lpstr>Rice</vt:lpstr>
      <vt:lpstr>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Gross Value of Production</vt:lpstr>
      <vt:lpstr>Production</vt:lpstr>
      <vt:lpstr>Prices</vt:lpstr>
      <vt:lpstr>Exports</vt:lpstr>
      <vt:lpstr>Imports &amp; Trade Balance</vt:lpstr>
      <vt:lpstr>Employment &amp; Businesses</vt:lpstr>
      <vt:lpstr>Endnotes</vt:lpstr>
    </vt:vector>
  </TitlesOfParts>
  <Manager/>
  <Company>NSW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Niall Cummings</dc:creator>
  <cp:keywords/>
  <dc:description/>
  <cp:lastModifiedBy>Niall Cummings</cp:lastModifiedBy>
  <cp:revision/>
  <dcterms:created xsi:type="dcterms:W3CDTF">2021-09-27T10:49:57Z</dcterms:created>
  <dcterms:modified xsi:type="dcterms:W3CDTF">2025-11-10T05:02:54Z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0x010100FC34A55975AF3C4E85DF837E2A36A473</vt:lpwstr>
  </property>
  <property fmtid="{D5CDD505-2E9C-101B-9397-08002B2CF9AE}" pid="3" name="MediaServiceImageTags">
    <vt:lpwstr/>
  </property>
</Properties>
</file>