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warrenam\Documents\STAFF\Penny Heuston\PRR Tool\"/>
    </mc:Choice>
  </mc:AlternateContent>
  <xr:revisionPtr revIDLastSave="0" documentId="8_{2EA93358-D5E2-4333-A577-0F3AD8F0F160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Yield loss example" sheetId="7" r:id="rId1"/>
    <sheet name="Black vertosol worksheet" sheetId="6" r:id="rId2"/>
    <sheet name=" Grey vertosol worksheet" sheetId="3" r:id="rId3"/>
    <sheet name="Sheet1" sheetId="2" state="hidden" r:id="rId4"/>
    <sheet name="Sheet2" sheetId="5" state="hidden" r:id="rId5"/>
  </sheets>
  <definedNames>
    <definedName name="_xlnm.Print_Area" localSheetId="0">'Yield loss example'!$A$1:$M$52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6" i="3" l="1"/>
  <c r="I43" i="3"/>
  <c r="I45" i="3"/>
  <c r="I44" i="3"/>
  <c r="I45" i="6"/>
  <c r="I44" i="6"/>
  <c r="I43" i="6"/>
  <c r="I42" i="6"/>
  <c r="H28" i="6"/>
  <c r="H29" i="3"/>
  <c r="H29" i="7" l="1"/>
  <c r="I49" i="7"/>
  <c r="I46" i="7"/>
  <c r="I45" i="7"/>
  <c r="I44" i="7"/>
  <c r="I43" i="7"/>
  <c r="I47" i="7" l="1"/>
  <c r="I48" i="7" s="1"/>
  <c r="L29" i="7"/>
  <c r="F17" i="5"/>
  <c r="H17" i="5" s="1"/>
  <c r="J17" i="5" s="1"/>
  <c r="F16" i="5"/>
  <c r="H16" i="5" s="1"/>
  <c r="J16" i="5" s="1"/>
  <c r="F15" i="5"/>
  <c r="H15" i="5" s="1"/>
  <c r="J15" i="5" s="1"/>
  <c r="F14" i="5"/>
  <c r="H14" i="5" s="1"/>
  <c r="J14" i="5" s="1"/>
  <c r="F13" i="5"/>
  <c r="H13" i="5" s="1"/>
  <c r="J13" i="5" s="1"/>
  <c r="F12" i="5"/>
  <c r="H12" i="5" s="1"/>
  <c r="J12" i="5" s="1"/>
  <c r="F11" i="5"/>
  <c r="G11" i="5" s="1"/>
  <c r="I11" i="5" s="1"/>
  <c r="F10" i="5"/>
  <c r="H10" i="5" s="1"/>
  <c r="J10" i="5" s="1"/>
  <c r="F9" i="5"/>
  <c r="H9" i="5" s="1"/>
  <c r="J9" i="5" s="1"/>
  <c r="F8" i="5"/>
  <c r="H8" i="5" s="1"/>
  <c r="J8" i="5" s="1"/>
  <c r="K29" i="7" s="1"/>
  <c r="F7" i="5"/>
  <c r="H7" i="5" s="1"/>
  <c r="J7" i="5" s="1"/>
  <c r="F6" i="5"/>
  <c r="H6" i="5" s="1"/>
  <c r="J6" i="5" s="1"/>
  <c r="F5" i="5"/>
  <c r="G5" i="5" s="1"/>
  <c r="I5" i="5" s="1"/>
  <c r="F4" i="5"/>
  <c r="H4" i="5" s="1"/>
  <c r="J4" i="5" s="1"/>
  <c r="F3" i="5"/>
  <c r="H3" i="5" s="1"/>
  <c r="J3" i="5" s="1"/>
  <c r="F2" i="5"/>
  <c r="H2" i="5" s="1"/>
  <c r="J2" i="5" s="1"/>
  <c r="F2" i="2"/>
  <c r="G2" i="2" s="1"/>
  <c r="I2" i="2" s="1"/>
  <c r="J29" i="3" s="1"/>
  <c r="F3" i="2"/>
  <c r="G3" i="2" s="1"/>
  <c r="I3" i="2" s="1"/>
  <c r="F4" i="2"/>
  <c r="G4" i="2" s="1"/>
  <c r="I4" i="2" s="1"/>
  <c r="F5" i="2"/>
  <c r="G5" i="2" s="1"/>
  <c r="I5" i="2" s="1"/>
  <c r="F6" i="2"/>
  <c r="H6" i="2" s="1"/>
  <c r="J6" i="2" s="1"/>
  <c r="F7" i="2"/>
  <c r="H7" i="2" s="1"/>
  <c r="J7" i="2" s="1"/>
  <c r="F8" i="2"/>
  <c r="G8" i="2" s="1"/>
  <c r="I8" i="2" s="1"/>
  <c r="F9" i="2"/>
  <c r="H9" i="2" s="1"/>
  <c r="J9" i="2" s="1"/>
  <c r="F10" i="2"/>
  <c r="H10" i="2" s="1"/>
  <c r="J10" i="2" s="1"/>
  <c r="F11" i="2"/>
  <c r="H11" i="2" s="1"/>
  <c r="J11" i="2" s="1"/>
  <c r="F12" i="2"/>
  <c r="H12" i="2" s="1"/>
  <c r="J12" i="2" s="1"/>
  <c r="F13" i="2"/>
  <c r="H13" i="2" s="1"/>
  <c r="J13" i="2" s="1"/>
  <c r="F14" i="2"/>
  <c r="G14" i="2" s="1"/>
  <c r="I14" i="2" s="1"/>
  <c r="F15" i="2"/>
  <c r="G15" i="2" s="1"/>
  <c r="I15" i="2" s="1"/>
  <c r="F16" i="2"/>
  <c r="G16" i="2" s="1"/>
  <c r="I16" i="2" s="1"/>
  <c r="F17" i="2"/>
  <c r="G17" i="2" s="1"/>
  <c r="I17" i="2" s="1"/>
  <c r="H3" i="2" l="1"/>
  <c r="J3" i="2" s="1"/>
  <c r="G9" i="2"/>
  <c r="I9" i="2" s="1"/>
  <c r="H14" i="2"/>
  <c r="J14" i="2" s="1"/>
  <c r="I50" i="7"/>
  <c r="G6" i="5"/>
  <c r="I6" i="5" s="1"/>
  <c r="I29" i="3"/>
  <c r="I33" i="3" s="1"/>
  <c r="I34" i="3" s="1"/>
  <c r="I35" i="3" s="1"/>
  <c r="L29" i="3"/>
  <c r="G12" i="5"/>
  <c r="I12" i="5" s="1"/>
  <c r="G7" i="5"/>
  <c r="I7" i="5" s="1"/>
  <c r="H5" i="5"/>
  <c r="J5" i="5" s="1"/>
  <c r="G10" i="5"/>
  <c r="I10" i="5" s="1"/>
  <c r="G3" i="5"/>
  <c r="I3" i="5" s="1"/>
  <c r="G8" i="5"/>
  <c r="I8" i="5" s="1"/>
  <c r="J29" i="7" s="1"/>
  <c r="G13" i="5"/>
  <c r="I13" i="5" s="1"/>
  <c r="H11" i="5"/>
  <c r="J11" i="5" s="1"/>
  <c r="G16" i="5"/>
  <c r="I16" i="5" s="1"/>
  <c r="G4" i="5"/>
  <c r="I4" i="5" s="1"/>
  <c r="G9" i="5"/>
  <c r="I9" i="5" s="1"/>
  <c r="G2" i="5"/>
  <c r="I2" i="5" s="1"/>
  <c r="G14" i="5"/>
  <c r="I14" i="5" s="1"/>
  <c r="G17" i="5"/>
  <c r="I17" i="5" s="1"/>
  <c r="G15" i="5"/>
  <c r="I15" i="5" s="1"/>
  <c r="G13" i="2"/>
  <c r="I13" i="2" s="1"/>
  <c r="G10" i="2"/>
  <c r="I10" i="2" s="1"/>
  <c r="H2" i="2"/>
  <c r="J2" i="2" s="1"/>
  <c r="K29" i="3" s="1"/>
  <c r="H15" i="2"/>
  <c r="J15" i="2" s="1"/>
  <c r="H5" i="2"/>
  <c r="J5" i="2" s="1"/>
  <c r="G12" i="2"/>
  <c r="I12" i="2" s="1"/>
  <c r="H16" i="2"/>
  <c r="J16" i="2" s="1"/>
  <c r="H4" i="2"/>
  <c r="J4" i="2" s="1"/>
  <c r="G11" i="2"/>
  <c r="I11" i="2" s="1"/>
  <c r="G7" i="2"/>
  <c r="I7" i="2" s="1"/>
  <c r="G6" i="2"/>
  <c r="I6" i="2" s="1"/>
  <c r="H17" i="2"/>
  <c r="J17" i="2" s="1"/>
  <c r="H8" i="2"/>
  <c r="J8" i="2" s="1"/>
  <c r="I48" i="6"/>
  <c r="Z66" i="5"/>
  <c r="Y66" i="5"/>
  <c r="Z65" i="5"/>
  <c r="Y65" i="5"/>
  <c r="Z64" i="5"/>
  <c r="Y64" i="5"/>
  <c r="Z63" i="5"/>
  <c r="Y63" i="5"/>
  <c r="Z62" i="5"/>
  <c r="Y62" i="5"/>
  <c r="Z61" i="5"/>
  <c r="Y61" i="5"/>
  <c r="Z60" i="5"/>
  <c r="Y60" i="5"/>
  <c r="Z59" i="5"/>
  <c r="Y59" i="5"/>
  <c r="Z58" i="5"/>
  <c r="Y58" i="5"/>
  <c r="Z57" i="5"/>
  <c r="Y57" i="5"/>
  <c r="Z56" i="5"/>
  <c r="Y56" i="5"/>
  <c r="Z55" i="5"/>
  <c r="Y55" i="5"/>
  <c r="Z54" i="5"/>
  <c r="Y54" i="5"/>
  <c r="Z53" i="5"/>
  <c r="Y53" i="5"/>
  <c r="Z52" i="5"/>
  <c r="Y52" i="5"/>
  <c r="Z51" i="5"/>
  <c r="Z50" i="5"/>
  <c r="Y50" i="5"/>
  <c r="Z49" i="5"/>
  <c r="Y49" i="5"/>
  <c r="Z48" i="5"/>
  <c r="Y48" i="5"/>
  <c r="Z47" i="5"/>
  <c r="Y47" i="5"/>
  <c r="Z46" i="5"/>
  <c r="Y46" i="5"/>
  <c r="Z45" i="5"/>
  <c r="Y45" i="5"/>
  <c r="Z44" i="5"/>
  <c r="Y44" i="5"/>
  <c r="Z43" i="5"/>
  <c r="Y43" i="5"/>
  <c r="Z42" i="5"/>
  <c r="Y42" i="5"/>
  <c r="Z41" i="5"/>
  <c r="Y41" i="5"/>
  <c r="Z40" i="5"/>
  <c r="Y40" i="5"/>
  <c r="Z39" i="5"/>
  <c r="Y39" i="5"/>
  <c r="Z38" i="5"/>
  <c r="Y38" i="5"/>
  <c r="Z37" i="5"/>
  <c r="Y37" i="5"/>
  <c r="Z36" i="5"/>
  <c r="Y36" i="5"/>
  <c r="Z35" i="5"/>
  <c r="Z34" i="5"/>
  <c r="Y34" i="5"/>
  <c r="Z33" i="5"/>
  <c r="Y33" i="5"/>
  <c r="Z32" i="5"/>
  <c r="Y32" i="5"/>
  <c r="Z31" i="5"/>
  <c r="Y31" i="5"/>
  <c r="Z30" i="5"/>
  <c r="Y30" i="5"/>
  <c r="Z29" i="5"/>
  <c r="Y29" i="5"/>
  <c r="Z28" i="5"/>
  <c r="Y28" i="5"/>
  <c r="Z27" i="5"/>
  <c r="Y27" i="5"/>
  <c r="Z26" i="5"/>
  <c r="Y26" i="5"/>
  <c r="Z25" i="5"/>
  <c r="Y25" i="5"/>
  <c r="Z24" i="5"/>
  <c r="Y24" i="5"/>
  <c r="Z23" i="5"/>
  <c r="Y23" i="5"/>
  <c r="Z22" i="5"/>
  <c r="Y22" i="5"/>
  <c r="Z21" i="5"/>
  <c r="Y21" i="5"/>
  <c r="Z20" i="5"/>
  <c r="Y20" i="5"/>
  <c r="Z19" i="5"/>
  <c r="Z18" i="5"/>
  <c r="Y18" i="5"/>
  <c r="Z17" i="5"/>
  <c r="Y17" i="5"/>
  <c r="Z16" i="5"/>
  <c r="Y16" i="5"/>
  <c r="Z15" i="5"/>
  <c r="Y15" i="5"/>
  <c r="Z14" i="5"/>
  <c r="Y14" i="5"/>
  <c r="Z13" i="5"/>
  <c r="Y13" i="5"/>
  <c r="Z12" i="5"/>
  <c r="Y12" i="5"/>
  <c r="Z11" i="5"/>
  <c r="Y11" i="5"/>
  <c r="Z10" i="5"/>
  <c r="Y10" i="5"/>
  <c r="Z9" i="5"/>
  <c r="Y9" i="5"/>
  <c r="Z8" i="5"/>
  <c r="Y8" i="5"/>
  <c r="Z7" i="5"/>
  <c r="Y7" i="5"/>
  <c r="Z6" i="5"/>
  <c r="Y6" i="5"/>
  <c r="Z5" i="5"/>
  <c r="Y5" i="5"/>
  <c r="Z4" i="5"/>
  <c r="Y4" i="5"/>
  <c r="Z3" i="5"/>
  <c r="C17" i="5"/>
  <c r="B17" i="5"/>
  <c r="C16" i="5"/>
  <c r="B16" i="5"/>
  <c r="C15" i="5"/>
  <c r="B15" i="5"/>
  <c r="C14" i="5"/>
  <c r="B14" i="5"/>
  <c r="C13" i="5"/>
  <c r="B13" i="5"/>
  <c r="C12" i="5"/>
  <c r="B12" i="5"/>
  <c r="C11" i="5"/>
  <c r="B11" i="5"/>
  <c r="C10" i="5"/>
  <c r="B10" i="5"/>
  <c r="C9" i="5"/>
  <c r="B9" i="5"/>
  <c r="C8" i="5"/>
  <c r="B8" i="5"/>
  <c r="I29" i="7" s="1"/>
  <c r="I33" i="7" s="1"/>
  <c r="C7" i="5"/>
  <c r="B7" i="5"/>
  <c r="C6" i="5"/>
  <c r="B6" i="5"/>
  <c r="C5" i="5"/>
  <c r="B5" i="5"/>
  <c r="C4" i="5"/>
  <c r="B4" i="5"/>
  <c r="C3" i="5"/>
  <c r="B3" i="5"/>
  <c r="C2" i="5"/>
  <c r="I34" i="7" l="1"/>
  <c r="I35" i="7" s="1"/>
  <c r="I51" i="7"/>
  <c r="I52" i="7" s="1"/>
  <c r="I46" i="6"/>
  <c r="I47" i="6" s="1"/>
  <c r="I49" i="3"/>
  <c r="I49" i="6" l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2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3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3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4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52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36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20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4" i="2"/>
  <c r="I47" i="3" l="1"/>
  <c r="I51" i="3"/>
  <c r="I50" i="3" l="1"/>
  <c r="I48" i="3"/>
  <c r="I52" i="3"/>
  <c r="J28" i="6"/>
  <c r="L28" i="6"/>
  <c r="K28" i="6"/>
  <c r="I28" i="6"/>
  <c r="I32" i="6" l="1"/>
  <c r="I50" i="6" l="1"/>
  <c r="I51" i="6" s="1"/>
  <c r="I33" i="6"/>
  <c r="I34" i="6" s="1"/>
</calcChain>
</file>

<file path=xl/sharedStrings.xml><?xml version="1.0" encoding="utf-8"?>
<sst xmlns="http://schemas.openxmlformats.org/spreadsheetml/2006/main" count="724" uniqueCount="137">
  <si>
    <t>ha</t>
  </si>
  <si>
    <t>Expected yield of non-diseased area</t>
  </si>
  <si>
    <t>t/ha</t>
  </si>
  <si>
    <t>soil type</t>
  </si>
  <si>
    <t>predicted.value</t>
  </si>
  <si>
    <t>std.error</t>
  </si>
  <si>
    <t>Yield vs Irrigation Volume - Spline Predicitions</t>
  </si>
  <si>
    <t>Trial</t>
  </si>
  <si>
    <t>Dis.Trt</t>
  </si>
  <si>
    <t>VarietyY</t>
  </si>
  <si>
    <t>cIrrig</t>
  </si>
  <si>
    <t>standard.error</t>
  </si>
  <si>
    <t>Y</t>
  </si>
  <si>
    <t>PBA Seamer</t>
  </si>
  <si>
    <t>grey vert.</t>
  </si>
  <si>
    <t>CICA1328</t>
  </si>
  <si>
    <t>black vert.</t>
  </si>
  <si>
    <t>prop. yield loss</t>
  </si>
  <si>
    <t>prop. SE</t>
  </si>
  <si>
    <t>Estimated yield per ha in affected area</t>
  </si>
  <si>
    <t>Estimated total yield in affected area</t>
  </si>
  <si>
    <t>t</t>
  </si>
  <si>
    <t>Estimated total yield loss in tonnes</t>
  </si>
  <si>
    <t>predicted value</t>
  </si>
  <si>
    <t>SE plus or minus range</t>
  </si>
  <si>
    <t>Paddock details</t>
  </si>
  <si>
    <t>units</t>
  </si>
  <si>
    <t>Area ha of paddock affected</t>
  </si>
  <si>
    <t>irrigation + rainfall</t>
  </si>
  <si>
    <t>2018 rainfall</t>
  </si>
  <si>
    <t>irri trt.s + rainfall</t>
  </si>
  <si>
    <t>cIrrig predict</t>
  </si>
  <si>
    <t>2018 rainfall 185 mm, rounded to 190 mm</t>
  </si>
  <si>
    <t>Upper yield</t>
  </si>
  <si>
    <t>Lower yield</t>
  </si>
  <si>
    <t>Margin of Error (95%)</t>
  </si>
  <si>
    <t>UpperYieldPropLoss</t>
  </si>
  <si>
    <t>LowerYieldPropLoss</t>
  </si>
  <si>
    <t>Note</t>
  </si>
  <si>
    <t xml:space="preserve">Assumptions to be met to provide yield loss estimates </t>
  </si>
  <si>
    <t>primary infection of seedlings by PRR occurs shortly after emergence</t>
  </si>
  <si>
    <t>Proportional yield loss estimate</t>
  </si>
  <si>
    <t>June</t>
  </si>
  <si>
    <t>July</t>
  </si>
  <si>
    <t>August</t>
  </si>
  <si>
    <t>September</t>
  </si>
  <si>
    <t>October</t>
  </si>
  <si>
    <t>November</t>
  </si>
  <si>
    <t>The spreadsheet with the appropriate soil type has been selected</t>
  </si>
  <si>
    <t>Planting date is in first 2 weeks of June</t>
  </si>
  <si>
    <t>Use of treated good quality seed</t>
  </si>
  <si>
    <t>Primary infection of seedlings by PRR occurs shortly after emergence</t>
  </si>
  <si>
    <t>The area of the paddock with PRR disease is not also affected by other biotic (e.g. ascochyta) or abiotic (e.g. hard pan, sodicity) constraints</t>
  </si>
  <si>
    <t>Other pests and diseases are controlled</t>
  </si>
  <si>
    <t>Total rainfall is within the prediction range of 100 to 250 mm</t>
  </si>
  <si>
    <t>Average chickpea yield of target paddock</t>
  </si>
  <si>
    <t>Plant density</t>
  </si>
  <si>
    <t>Local rainfall records</t>
  </si>
  <si>
    <t>Paddock size, ha</t>
  </si>
  <si>
    <t>Area with PRR plant symptoms has been confirmed as PRR</t>
  </si>
  <si>
    <t>Input monthly rainfall for period up to when PRR symptoms are observed, need to round off to 10 mm increments</t>
  </si>
  <si>
    <t>Estimate and input monthly rainfall to harvest</t>
  </si>
  <si>
    <t>Input area (ha) of paddock affected and expected yield (t/ha) of non-diseased area in same paddock</t>
  </si>
  <si>
    <t>Estimated total yield loss t/ha</t>
  </si>
  <si>
    <t>Area (ha)with PRR plant symptoms has been confirmed as PRR</t>
  </si>
  <si>
    <t>Input monthly rainfall for period up to when PRR symptoms are observed. Round off to 10 mm increments</t>
  </si>
  <si>
    <t>Upper range of estimate</t>
  </si>
  <si>
    <t>Lower range of estimate</t>
  </si>
  <si>
    <t>Area/yields</t>
  </si>
  <si>
    <t>Units</t>
  </si>
  <si>
    <t xml:space="preserve"> Input sum</t>
  </si>
  <si>
    <t>Est. costs $/ha</t>
  </si>
  <si>
    <t xml:space="preserve">Fungicide </t>
  </si>
  <si>
    <t>Herbicide</t>
  </si>
  <si>
    <t>Insecticide</t>
  </si>
  <si>
    <t>Other</t>
  </si>
  <si>
    <t>Nominated grain price, $/t</t>
  </si>
  <si>
    <t>All post PRR inputs, $/ha</t>
  </si>
  <si>
    <t>Input cost PRR area, $</t>
  </si>
  <si>
    <t>Nominate a grain price in $/t</t>
  </si>
  <si>
    <t>Est. healthy grain income $/ha</t>
  </si>
  <si>
    <t>Est. healthy grain income $/ha minus inputs</t>
  </si>
  <si>
    <t>Est. PRR grain income $/ha</t>
  </si>
  <si>
    <t>Est. PRR grain income $/ha minus inputs</t>
  </si>
  <si>
    <t>1. PRR detected in month 3</t>
  </si>
  <si>
    <t>3. Input of 100 mm estimate for total rainfall over next 4 months up to harvest</t>
  </si>
  <si>
    <t>4. Input of 20 ha area for estimated of area affected by PRR</t>
  </si>
  <si>
    <t>5. Estimate of 2.1 t/ha yield for area not affected by PRR</t>
  </si>
  <si>
    <t>1. 0.19 proportional yield loss</t>
  </si>
  <si>
    <t>2. Loss of 8.14 t of grain from the 20 ha PRR affected area</t>
  </si>
  <si>
    <t>Example: rainfall, area affected and yield section.</t>
  </si>
  <si>
    <t>Estimated crop input costs from PRR detection up to harvest.</t>
  </si>
  <si>
    <r>
      <t xml:space="preserve">INPUT REQUIRED PADDOCK INFORMATION INTO </t>
    </r>
    <r>
      <rPr>
        <b/>
        <sz val="11"/>
        <color theme="4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 xml:space="preserve"> COLOURED CELLS.</t>
    </r>
  </si>
  <si>
    <t>Yield loss estimate output.</t>
  </si>
  <si>
    <t>Information required from grower or agronomist.</t>
  </si>
  <si>
    <r>
      <t xml:space="preserve">INPUT UPCOMING COSTS INTO </t>
    </r>
    <r>
      <rPr>
        <b/>
        <sz val="11"/>
        <color theme="4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 xml:space="preserve"> COLOURED CELLS.</t>
    </r>
  </si>
  <si>
    <t>2. Input of fungicide, herbicide and insecticide costs for months 3 to 6</t>
  </si>
  <si>
    <t>3. Input of grain price of $300/t</t>
  </si>
  <si>
    <t>Example: input costs.</t>
  </si>
  <si>
    <t>1. $84/ha in future input costs</t>
  </si>
  <si>
    <t>2. Reduction from $546/ha to $423/ha estimated income including inputs up to harvest</t>
  </si>
  <si>
    <t>3. Conclusion crop yield losses less than input costs from time of PRR detection</t>
  </si>
  <si>
    <t>Income loss estimate.</t>
  </si>
  <si>
    <t>The area of the paddock with PRR disease is not also affected by other biotic (e.g. Ascochyta) or abiotic (e.g. hard pan, sodicity) constraints</t>
  </si>
  <si>
    <t>Estimate of area (ha) of PRR affected plants in paddock, and symptoms are confirmed as PRR</t>
  </si>
  <si>
    <t>Input area in hectares of paddock affected and expected yield (t/ha) of non-diseased area in same paddock</t>
  </si>
  <si>
    <r>
      <t xml:space="preserve">INPUT UPCOMING COSTS INTO </t>
    </r>
    <r>
      <rPr>
        <b/>
        <sz val="11"/>
        <color theme="4"/>
        <rFont val="Calibri"/>
        <family val="2"/>
        <scheme val="minor"/>
      </rPr>
      <t xml:space="preserve">BLUE </t>
    </r>
    <r>
      <rPr>
        <sz val="11"/>
        <color theme="1"/>
        <rFont val="Calibri"/>
        <family val="2"/>
        <scheme val="minor"/>
      </rPr>
      <t>COLOURED CELLS.</t>
    </r>
  </si>
  <si>
    <t>Est healthy grain income $/ha</t>
  </si>
  <si>
    <t xml:space="preserve">Estimated management input costs for the remaining months to harvest from PRR </t>
  </si>
  <si>
    <t>Example spreadsheet for scenario of PRR symptoms 3 months after sowing and 160 mm on in crop rainfall</t>
  </si>
  <si>
    <t>&gt; 90% emergence, i.e.. good establishment</t>
  </si>
  <si>
    <t>Variety planted has a similar PRR resistance rating to PBA Seamer (i.e.. PBA HatTrick and Yorker)</t>
  </si>
  <si>
    <t>Total actual and estimated rainfall</t>
  </si>
  <si>
    <t>2. Input of 60 mm of rain received in first 2 months</t>
  </si>
  <si>
    <r>
      <t>Variety planted has a similar PRR resistance rating to PBA Seamer (i.e.. PBA HatTrick</t>
    </r>
    <r>
      <rPr>
        <sz val="11"/>
        <color theme="1"/>
        <rFont val="PBRsfont"/>
        <family val="2"/>
      </rPr>
      <t>A</t>
    </r>
    <r>
      <rPr>
        <sz val="11"/>
        <color theme="1"/>
        <rFont val="Calibri"/>
        <family val="2"/>
        <scheme val="minor"/>
      </rPr>
      <t xml:space="preserve"> and Yorker)</t>
    </r>
  </si>
  <si>
    <t xml:space="preserve">Estimated input costs for the remaining months to harvest from PRR </t>
  </si>
  <si>
    <t>Actual and then estimated monthly rainfall up to harvest.</t>
  </si>
  <si>
    <t>Upper range of proportional yield loss</t>
  </si>
  <si>
    <t>Nominated grain price in $/t</t>
  </si>
  <si>
    <t>Estimated input costs for the remaining months to harvest from PRR disease symptom detection</t>
  </si>
  <si>
    <t>Provide a nominated grain price in $/t</t>
  </si>
  <si>
    <t>Estimated (est) area (ha) of PRR affected plants in paddock, symptoms confirmed as PRR</t>
  </si>
  <si>
    <t>Actual then estimated monthly rainfall up to harvest.</t>
  </si>
  <si>
    <t>Paddock details.</t>
  </si>
  <si>
    <t>Actual then estimated month rainfall up to harvest.</t>
  </si>
  <si>
    <t>Area/yield</t>
  </si>
  <si>
    <t>Assumptions to be met to provide yield loss estimates:</t>
  </si>
  <si>
    <t>Planting date is in the first 2 weeks of June</t>
  </si>
  <si>
    <t>&gt;90% emergence, i.e.. good establishment</t>
  </si>
  <si>
    <t>Information required from growers or agronomists:</t>
  </si>
  <si>
    <t>Paddock size (ha)</t>
  </si>
  <si>
    <t>&gt; 90% emergence, i.e. good establishment</t>
  </si>
  <si>
    <t>Total actual and estimated rainfalll</t>
  </si>
  <si>
    <t>Total rainfall is within the prediction range of 190 to 340 mm</t>
  </si>
  <si>
    <t>PRR yield loss spreadsheet tool, sheet for black vertosol soils.</t>
  </si>
  <si>
    <t>PRR yield loss spreadsheet tool, sheet for grey vertosol soils.</t>
  </si>
  <si>
    <t>PRR yield loss spreadsheet tool, sheet for Black vertosol soils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</si>
</sst>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1"/>
      <name val="PBRsfont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>
      <alignment wrapText="1"/>
    </xf>
    <xf numFmtId="0" fontId="2" fillId="4" borderId="0">
      <alignment wrapText="1"/>
    </xf>
    <xf numFmtId="0" fontId="2" fillId="0" borderId="0">
      <alignment wrapText="1"/>
    </xf>
  </cellStyleXfs>
  <cellXfs count="111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0" fillId="2" borderId="12" xfId="0" applyFill="1" applyBorder="1" applyAlignment="1">
      <alignment horizontal="center"/>
    </xf>
    <xf numFmtId="0" fontId="0" fillId="0" borderId="5" xfId="0" applyBorder="1" applyAlignment="1">
      <alignment wrapText="1"/>
    </xf>
    <xf numFmtId="0" fontId="0" fillId="0" borderId="11" xfId="0" applyBorder="1"/>
    <xf numFmtId="0" fontId="0" fillId="0" borderId="13" xfId="0" applyBorder="1"/>
    <xf numFmtId="0" fontId="0" fillId="0" borderId="12" xfId="0" applyBorder="1"/>
    <xf numFmtId="0" fontId="0" fillId="0" borderId="0" xfId="0" applyAlignment="1">
      <alignment wrapText="1"/>
    </xf>
    <xf numFmtId="0" fontId="0" fillId="3" borderId="0" xfId="0" applyFill="1"/>
    <xf numFmtId="0" fontId="3" fillId="0" borderId="0" xfId="1" applyFont="1">
      <alignment wrapText="1"/>
    </xf>
    <xf numFmtId="2" fontId="0" fillId="0" borderId="0" xfId="0" applyNumberFormat="1"/>
    <xf numFmtId="0" fontId="2" fillId="4" borderId="0" xfId="2" applyAlignment="1"/>
    <xf numFmtId="0" fontId="2" fillId="0" borderId="0" xfId="3">
      <alignment wrapText="1"/>
    </xf>
    <xf numFmtId="0" fontId="2" fillId="0" borderId="0" xfId="1">
      <alignment wrapText="1"/>
    </xf>
    <xf numFmtId="2" fontId="2" fillId="0" borderId="0" xfId="3" applyNumberFormat="1">
      <alignment wrapText="1"/>
    </xf>
    <xf numFmtId="0" fontId="3" fillId="4" borderId="0" xfId="2" applyFont="1">
      <alignment wrapText="1"/>
    </xf>
    <xf numFmtId="2" fontId="0" fillId="0" borderId="1" xfId="0" quotePrefix="1" applyNumberFormat="1" applyBorder="1" applyAlignment="1">
      <alignment horizontal="center"/>
    </xf>
    <xf numFmtId="2" fontId="0" fillId="3" borderId="1" xfId="0" quotePrefix="1" applyNumberFormat="1" applyFill="1" applyBorder="1" applyAlignment="1">
      <alignment horizontal="center"/>
    </xf>
    <xf numFmtId="164" fontId="0" fillId="0" borderId="0" xfId="0" applyNumberFormat="1"/>
    <xf numFmtId="2" fontId="0" fillId="0" borderId="1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8" xfId="0" applyFont="1" applyBorder="1" applyAlignment="1">
      <alignment horizontal="left"/>
    </xf>
    <xf numFmtId="2" fontId="1" fillId="0" borderId="1" xfId="0" quotePrefix="1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4" borderId="0" xfId="2">
      <alignment wrapText="1"/>
    </xf>
    <xf numFmtId="0" fontId="1" fillId="0" borderId="0" xfId="0" applyFont="1" applyAlignment="1">
      <alignment horizontal="center" wrapText="1"/>
    </xf>
    <xf numFmtId="0" fontId="5" fillId="5" borderId="8" xfId="0" applyFont="1" applyFill="1" applyBorder="1"/>
    <xf numFmtId="0" fontId="1" fillId="0" borderId="2" xfId="0" applyFont="1" applyBorder="1" applyAlignment="1">
      <alignment horizontal="left"/>
    </xf>
    <xf numFmtId="0" fontId="0" fillId="2" borderId="10" xfId="0" applyFill="1" applyBorder="1" applyAlignment="1">
      <alignment horizontal="center"/>
    </xf>
    <xf numFmtId="0" fontId="5" fillId="5" borderId="11" xfId="0" applyFont="1" applyFill="1" applyBorder="1"/>
    <xf numFmtId="0" fontId="4" fillId="5" borderId="13" xfId="0" applyFont="1" applyFill="1" applyBorder="1" applyAlignment="1">
      <alignment wrapText="1"/>
    </xf>
    <xf numFmtId="0" fontId="4" fillId="5" borderId="13" xfId="0" applyFont="1" applyFill="1" applyBorder="1" applyAlignment="1">
      <alignment vertical="center" wrapText="1"/>
    </xf>
    <xf numFmtId="0" fontId="4" fillId="5" borderId="13" xfId="0" applyFont="1" applyFill="1" applyBorder="1" applyAlignment="1">
      <alignment vertical="center"/>
    </xf>
    <xf numFmtId="0" fontId="5" fillId="5" borderId="13" xfId="0" applyFont="1" applyFill="1" applyBorder="1" applyAlignment="1">
      <alignment vertical="center"/>
    </xf>
    <xf numFmtId="0" fontId="4" fillId="5" borderId="12" xfId="0" applyFont="1" applyFill="1" applyBorder="1" applyAlignment="1">
      <alignment wrapText="1"/>
    </xf>
    <xf numFmtId="0" fontId="4" fillId="5" borderId="12" xfId="0" applyFont="1" applyFill="1" applyBorder="1" applyAlignment="1">
      <alignment vertical="center" wrapText="1"/>
    </xf>
    <xf numFmtId="0" fontId="0" fillId="0" borderId="5" xfId="0" applyBorder="1" applyAlignment="1">
      <alignment horizontal="center"/>
    </xf>
    <xf numFmtId="0" fontId="0" fillId="5" borderId="9" xfId="0" applyFill="1" applyBorder="1"/>
    <xf numFmtId="0" fontId="0" fillId="5" borderId="10" xfId="0" applyFill="1" applyBorder="1"/>
    <xf numFmtId="0" fontId="5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6" xfId="0" applyBorder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1" fillId="0" borderId="0" xfId="0" applyFont="1" applyProtection="1"/>
    <xf numFmtId="0" fontId="1" fillId="2" borderId="0" xfId="0" applyFont="1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1" fillId="0" borderId="2" xfId="0" applyFont="1" applyBorder="1" applyAlignment="1" applyProtection="1">
      <alignment horizontal="left"/>
    </xf>
    <xf numFmtId="0" fontId="0" fillId="0" borderId="3" xfId="0" applyBorder="1" applyProtection="1"/>
    <xf numFmtId="0" fontId="0" fillId="0" borderId="4" xfId="0" applyBorder="1" applyProtection="1"/>
    <xf numFmtId="0" fontId="0" fillId="0" borderId="1" xfId="0" applyBorder="1" applyProtection="1"/>
    <xf numFmtId="0" fontId="0" fillId="0" borderId="5" xfId="0" applyBorder="1" applyAlignment="1" applyProtection="1">
      <alignment horizontal="center"/>
    </xf>
    <xf numFmtId="0" fontId="0" fillId="0" borderId="7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1" xfId="0" applyBorder="1" applyAlignment="1" applyProtection="1">
      <alignment horizontal="center"/>
    </xf>
    <xf numFmtId="2" fontId="0" fillId="3" borderId="1" xfId="0" quotePrefix="1" applyNumberFormat="1" applyFill="1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2" fontId="1" fillId="0" borderId="1" xfId="0" quotePrefix="1" applyNumberFormat="1" applyFont="1" applyBorder="1" applyAlignment="1" applyProtection="1">
      <alignment horizontal="center"/>
    </xf>
    <xf numFmtId="0" fontId="1" fillId="0" borderId="1" xfId="0" quotePrefix="1" applyFont="1" applyBorder="1" applyAlignment="1" applyProtection="1">
      <alignment horizontal="center"/>
    </xf>
    <xf numFmtId="0" fontId="0" fillId="0" borderId="1" xfId="0" quotePrefix="1" applyBorder="1" applyAlignment="1" applyProtection="1">
      <alignment horizontal="center"/>
    </xf>
    <xf numFmtId="0" fontId="1" fillId="0" borderId="8" xfId="0" applyFont="1" applyBorder="1" applyAlignment="1" applyProtection="1">
      <alignment horizontal="left"/>
    </xf>
    <xf numFmtId="0" fontId="0" fillId="0" borderId="8" xfId="0" applyBorder="1" applyProtection="1"/>
    <xf numFmtId="0" fontId="0" fillId="0" borderId="9" xfId="0" applyBorder="1" applyProtection="1"/>
    <xf numFmtId="0" fontId="0" fillId="0" borderId="5" xfId="0" applyBorder="1" applyAlignment="1" applyProtection="1">
      <alignment wrapText="1"/>
    </xf>
    <xf numFmtId="0" fontId="0" fillId="0" borderId="11" xfId="0" applyBorder="1" applyProtection="1"/>
    <xf numFmtId="0" fontId="0" fillId="0" borderId="13" xfId="0" applyBorder="1" applyProtection="1"/>
    <xf numFmtId="0" fontId="0" fillId="0" borderId="12" xfId="0" applyBorder="1" applyProtection="1"/>
    <xf numFmtId="0" fontId="0" fillId="0" borderId="10" xfId="0" applyBorder="1" applyAlignment="1" applyProtection="1">
      <alignment horizontal="center"/>
    </xf>
    <xf numFmtId="2" fontId="0" fillId="0" borderId="1" xfId="0" applyNumberFormat="1" applyBorder="1" applyAlignment="1" applyProtection="1">
      <alignment horizontal="center"/>
    </xf>
    <xf numFmtId="2" fontId="0" fillId="0" borderId="1" xfId="0" quotePrefix="1" applyNumberFormat="1" applyBorder="1" applyAlignment="1" applyProtection="1">
      <alignment horizontal="center"/>
    </xf>
    <xf numFmtId="0" fontId="0" fillId="0" borderId="10" xfId="0" applyBorder="1" applyProtection="1"/>
    <xf numFmtId="0" fontId="0" fillId="0" borderId="12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6" xfId="0" applyBorder="1" applyAlignment="1">
      <alignment horizontal="center" wrapText="1"/>
    </xf>
    <xf numFmtId="0" fontId="0" fillId="0" borderId="6" xfId="0" applyBorder="1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0" fillId="0" borderId="5" xfId="0" applyBorder="1" applyAlignment="1" applyProtection="1">
      <alignment horizontal="center" vertical="center"/>
    </xf>
    <xf numFmtId="0" fontId="0" fillId="0" borderId="7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0" fontId="0" fillId="2" borderId="1" xfId="0" applyFill="1" applyBorder="1" applyAlignment="1" applyProtection="1">
      <alignment horizontal="center"/>
    </xf>
    <xf numFmtId="0" fontId="0" fillId="2" borderId="12" xfId="0" quotePrefix="1" applyFill="1" applyBorder="1" applyAlignment="1" applyProtection="1">
      <alignment horizontal="center"/>
    </xf>
    <xf numFmtId="0" fontId="0" fillId="2" borderId="12" xfId="0" applyFill="1" applyBorder="1" applyAlignment="1" applyProtection="1">
      <alignment horizontal="center"/>
    </xf>
    <xf numFmtId="0" fontId="0" fillId="2" borderId="1" xfId="0" quotePrefix="1" applyFill="1" applyBorder="1" applyAlignment="1" applyProtection="1">
      <alignment horizontal="center"/>
    </xf>
    <xf numFmtId="0" fontId="0" fillId="2" borderId="11" xfId="0" applyFill="1" applyBorder="1" applyAlignment="1" applyProtection="1">
      <alignment horizontal="center"/>
    </xf>
    <xf numFmtId="0" fontId="0" fillId="2" borderId="10" xfId="0" applyFill="1" applyBorder="1" applyAlignment="1" applyProtection="1">
      <alignment horizontal="center"/>
    </xf>
    <xf numFmtId="0" fontId="1" fillId="0" borderId="0" xfId="0" applyFont="1" applyAlignment="1" applyProtection="1">
      <alignment horizontal="center" wrapText="1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0" borderId="0" xfId="0" applyFont="1" applyAlignment="1">
      <alignment horizontal="center" wrapText="1"/>
    </xf>
  </cellXfs>
  <cellStyles count="4">
    <cellStyle name="Normal" xfId="0" builtinId="0"/>
    <cellStyle name="XLConnect.Header" xfId="2" xr:uid="{00000000-0005-0000-0000-000001000000}"/>
    <cellStyle name="XLConnect.Numeric" xfId="3" xr:uid="{00000000-0005-0000-0000-000002000000}"/>
    <cellStyle name="XLConnect.String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S52"/>
  <sheetViews>
    <sheetView tabSelected="1" zoomScale="110" zoomScaleNormal="110" workbookViewId="0">
      <selection activeCell="G12" sqref="G12"/>
    </sheetView>
  </sheetViews>
  <sheetFormatPr defaultRowHeight="15" x14ac:dyDescent="0.25"/>
  <cols>
    <col min="1" max="1" width="2.42578125" customWidth="1"/>
    <col min="2" max="2" width="10.140625" customWidth="1"/>
    <col min="7" max="7" width="9.5703125" customWidth="1"/>
    <col min="8" max="8" width="38.5703125" customWidth="1"/>
    <col min="9" max="9" width="12.28515625" customWidth="1"/>
    <col min="12" max="12" width="4.28515625" customWidth="1"/>
    <col min="13" max="13" width="61" customWidth="1"/>
    <col min="17" max="17" width="9.85546875" customWidth="1"/>
    <col min="18" max="18" width="11.7109375" customWidth="1"/>
    <col min="19" max="19" width="11.5703125" customWidth="1"/>
  </cols>
  <sheetData>
    <row r="1" spans="2:13" ht="40.5" customHeight="1" x14ac:dyDescent="0.25">
      <c r="B1" s="13" t="s">
        <v>136</v>
      </c>
      <c r="C1" s="13"/>
      <c r="E1" s="13"/>
      <c r="F1" s="13"/>
      <c r="H1" s="38" t="s">
        <v>109</v>
      </c>
      <c r="I1" s="38"/>
      <c r="J1" s="49"/>
      <c r="K1" s="49"/>
      <c r="L1" s="49"/>
      <c r="M1" s="50"/>
    </row>
    <row r="2" spans="2:13" ht="14.25" customHeight="1" x14ac:dyDescent="0.25">
      <c r="B2" s="13"/>
      <c r="C2" s="13"/>
      <c r="E2" s="13"/>
      <c r="F2" s="13"/>
      <c r="H2" s="51"/>
      <c r="I2" s="51"/>
    </row>
    <row r="3" spans="2:13" ht="17.25" customHeight="1" x14ac:dyDescent="0.25">
      <c r="B3" t="s">
        <v>39</v>
      </c>
    </row>
    <row r="4" spans="2:13" x14ac:dyDescent="0.25">
      <c r="B4" s="12">
        <v>1</v>
      </c>
      <c r="C4" t="s">
        <v>48</v>
      </c>
    </row>
    <row r="5" spans="2:13" x14ac:dyDescent="0.25">
      <c r="B5" s="12">
        <v>2</v>
      </c>
      <c r="C5" t="s">
        <v>49</v>
      </c>
    </row>
    <row r="6" spans="2:13" x14ac:dyDescent="0.25">
      <c r="B6" s="12">
        <v>3</v>
      </c>
      <c r="C6" t="s">
        <v>50</v>
      </c>
    </row>
    <row r="7" spans="2:13" x14ac:dyDescent="0.25">
      <c r="B7" s="12">
        <v>4</v>
      </c>
      <c r="C7" t="s">
        <v>110</v>
      </c>
      <c r="G7" t="s">
        <v>40</v>
      </c>
    </row>
    <row r="8" spans="2:13" x14ac:dyDescent="0.25">
      <c r="B8" s="12">
        <v>5</v>
      </c>
      <c r="C8" t="s">
        <v>51</v>
      </c>
    </row>
    <row r="9" spans="2:13" x14ac:dyDescent="0.25">
      <c r="B9" s="12">
        <v>6</v>
      </c>
      <c r="C9" t="s">
        <v>52</v>
      </c>
    </row>
    <row r="10" spans="2:13" x14ac:dyDescent="0.25">
      <c r="B10" s="12">
        <v>7</v>
      </c>
      <c r="C10" t="s">
        <v>53</v>
      </c>
    </row>
    <row r="11" spans="2:13" x14ac:dyDescent="0.25">
      <c r="B11" s="12">
        <v>8</v>
      </c>
      <c r="C11" t="s">
        <v>111</v>
      </c>
    </row>
    <row r="12" spans="2:13" x14ac:dyDescent="0.25">
      <c r="B12" s="12">
        <v>9</v>
      </c>
      <c r="C12" t="s">
        <v>54</v>
      </c>
    </row>
    <row r="14" spans="2:13" x14ac:dyDescent="0.25">
      <c r="B14" t="s">
        <v>94</v>
      </c>
    </row>
    <row r="15" spans="2:13" x14ac:dyDescent="0.25">
      <c r="B15" s="12">
        <v>1</v>
      </c>
      <c r="C15" t="s">
        <v>55</v>
      </c>
    </row>
    <row r="16" spans="2:13" x14ac:dyDescent="0.25">
      <c r="B16" s="12">
        <v>2</v>
      </c>
      <c r="C16" t="s">
        <v>56</v>
      </c>
    </row>
    <row r="17" spans="2:19" x14ac:dyDescent="0.25">
      <c r="B17" s="12">
        <v>3</v>
      </c>
      <c r="C17" t="s">
        <v>57</v>
      </c>
    </row>
    <row r="18" spans="2:19" x14ac:dyDescent="0.25">
      <c r="B18" s="12">
        <v>4</v>
      </c>
      <c r="C18" t="s">
        <v>58</v>
      </c>
    </row>
    <row r="19" spans="2:19" x14ac:dyDescent="0.25">
      <c r="B19" s="12">
        <v>5</v>
      </c>
      <c r="C19" t="s">
        <v>121</v>
      </c>
    </row>
    <row r="20" spans="2:19" x14ac:dyDescent="0.25">
      <c r="B20" s="12">
        <v>6</v>
      </c>
      <c r="C20" t="s">
        <v>64</v>
      </c>
    </row>
    <row r="22" spans="2:19" ht="18" customHeight="1" x14ac:dyDescent="0.25">
      <c r="B22" t="s">
        <v>92</v>
      </c>
      <c r="Q22" s="19"/>
    </row>
    <row r="23" spans="2:19" x14ac:dyDescent="0.25">
      <c r="B23" s="12">
        <v>1</v>
      </c>
      <c r="C23" t="s">
        <v>65</v>
      </c>
      <c r="Q23" s="19"/>
      <c r="R23" s="12"/>
      <c r="S23" s="12"/>
    </row>
    <row r="24" spans="2:19" x14ac:dyDescent="0.25">
      <c r="B24" s="12">
        <v>2</v>
      </c>
      <c r="C24" t="s">
        <v>61</v>
      </c>
      <c r="Q24" s="19"/>
      <c r="R24" s="12"/>
      <c r="S24" s="12"/>
    </row>
    <row r="25" spans="2:19" x14ac:dyDescent="0.25">
      <c r="B25" s="12">
        <v>3</v>
      </c>
      <c r="C25" t="s">
        <v>62</v>
      </c>
    </row>
    <row r="26" spans="2:19" x14ac:dyDescent="0.25">
      <c r="M26" s="41" t="s">
        <v>90</v>
      </c>
    </row>
    <row r="27" spans="2:19" ht="21" customHeight="1" x14ac:dyDescent="0.25">
      <c r="B27" s="39" t="s">
        <v>116</v>
      </c>
      <c r="C27" s="3"/>
      <c r="D27" s="3"/>
      <c r="E27" s="3"/>
      <c r="F27" s="3"/>
      <c r="G27" s="3"/>
      <c r="H27" s="3"/>
      <c r="I27" s="4"/>
      <c r="J27" s="4"/>
      <c r="K27" s="52"/>
      <c r="M27" s="41"/>
    </row>
    <row r="28" spans="2:19" ht="45" x14ac:dyDescent="0.25">
      <c r="B28" s="48" t="s">
        <v>42</v>
      </c>
      <c r="C28" s="48" t="s">
        <v>43</v>
      </c>
      <c r="D28" s="48" t="s">
        <v>44</v>
      </c>
      <c r="E28" s="48" t="s">
        <v>45</v>
      </c>
      <c r="F28" s="48" t="s">
        <v>46</v>
      </c>
      <c r="G28" s="48" t="s">
        <v>47</v>
      </c>
      <c r="H28" s="5" t="s">
        <v>112</v>
      </c>
      <c r="I28" s="6" t="s">
        <v>41</v>
      </c>
      <c r="J28" s="6" t="s">
        <v>66</v>
      </c>
      <c r="K28" s="53" t="s">
        <v>67</v>
      </c>
      <c r="L28" s="19"/>
      <c r="M28" s="43" t="s">
        <v>84</v>
      </c>
      <c r="S28" s="19"/>
    </row>
    <row r="29" spans="2:19" ht="21.6" customHeight="1" x14ac:dyDescent="0.25">
      <c r="B29" s="100">
        <v>30</v>
      </c>
      <c r="C29" s="100">
        <v>30</v>
      </c>
      <c r="D29" s="100">
        <v>10</v>
      </c>
      <c r="E29" s="100">
        <v>50</v>
      </c>
      <c r="F29" s="100">
        <v>20</v>
      </c>
      <c r="G29" s="100">
        <v>20</v>
      </c>
      <c r="H29" s="75">
        <f>SUM(B29:G29)</f>
        <v>160</v>
      </c>
      <c r="I29" s="76">
        <f>IF(H29 &gt;= 100, IF(H29&lt;=250,VLOOKUP(H29,Sheet2!$A:$E,2,FALSE), _xlfn.CONCAT("&gt;", ROUND(Sheet2!B17, 2))), "&lt;0")</f>
        <v>0.19377898641901747</v>
      </c>
      <c r="J29" s="29">
        <f>IF(H29 &gt;= 100, IF(H29 &lt;= 250, VLOOKUP(H29,Sheet2!$A:$J,9,FALSE), ROUND(Sheet2!I17,2)),ROUND(Sheet2!I2,2))</f>
        <v>0.11913084327991763</v>
      </c>
      <c r="K29" s="29">
        <f>IF(H29&gt;=100, IF(H29&lt;=250, VLOOKUP(H29,Sheet2!$A:$J,10,FALSE), ROUND(Sheet2!J17,2)), ROUND(Sheet2!J2,2))</f>
        <v>0.26842712955811732</v>
      </c>
      <c r="L29" s="37" t="str">
        <f>IF(H29 &gt;= 100, IF(H29 &gt; 250, "Estimated rainfall is beyond the range of observed values - Prop. yield loss and range of yield losses are approximate",""), "Estimated rainfall is beyond the range of observed values - Prop. yield loss and range of yield losses are approximate")</f>
        <v/>
      </c>
      <c r="M29" s="43" t="s">
        <v>113</v>
      </c>
      <c r="S29" s="12"/>
    </row>
    <row r="30" spans="2:19" ht="27.6" customHeight="1" x14ac:dyDescent="0.25">
      <c r="B30" s="81" t="s">
        <v>25</v>
      </c>
      <c r="C30" s="77"/>
      <c r="D30" s="77"/>
      <c r="E30" s="77"/>
      <c r="F30" s="77"/>
      <c r="G30" s="77"/>
      <c r="H30" s="77"/>
      <c r="I30" s="78" t="s">
        <v>68</v>
      </c>
      <c r="J30" s="35" t="s">
        <v>69</v>
      </c>
      <c r="K30" s="11"/>
      <c r="L30" s="37"/>
      <c r="M30" s="43" t="s">
        <v>85</v>
      </c>
      <c r="S30" s="12"/>
    </row>
    <row r="31" spans="2:19" ht="19.899999999999999" customHeight="1" x14ac:dyDescent="0.25">
      <c r="B31" s="82" t="s">
        <v>27</v>
      </c>
      <c r="C31" s="83"/>
      <c r="D31" s="83"/>
      <c r="E31" s="83"/>
      <c r="F31" s="83"/>
      <c r="G31" s="83"/>
      <c r="H31" s="83"/>
      <c r="I31" s="100">
        <v>20</v>
      </c>
      <c r="J31" s="1" t="s">
        <v>0</v>
      </c>
      <c r="K31" s="52"/>
      <c r="M31" s="43" t="s">
        <v>86</v>
      </c>
      <c r="S31" s="12"/>
    </row>
    <row r="32" spans="2:19" x14ac:dyDescent="0.25">
      <c r="B32" s="82" t="s">
        <v>1</v>
      </c>
      <c r="C32" s="83"/>
      <c r="D32" s="83"/>
      <c r="E32" s="83"/>
      <c r="F32" s="83"/>
      <c r="G32" s="83"/>
      <c r="H32" s="83"/>
      <c r="I32" s="100">
        <v>2.1</v>
      </c>
      <c r="J32" s="10" t="s">
        <v>2</v>
      </c>
      <c r="K32" s="52"/>
      <c r="M32" s="43" t="s">
        <v>87</v>
      </c>
    </row>
    <row r="33" spans="2:13" x14ac:dyDescent="0.25">
      <c r="B33" s="82" t="s">
        <v>19</v>
      </c>
      <c r="C33" s="83"/>
      <c r="D33" s="83"/>
      <c r="E33" s="83"/>
      <c r="F33" s="83"/>
      <c r="G33" s="83"/>
      <c r="H33" s="83"/>
      <c r="I33" s="90">
        <f>IF(H29&gt;=100,IF(H29&lt;=250, (I32)-(I32*I29), "Outside range"), "Outside range")</f>
        <v>1.6930641285200634</v>
      </c>
      <c r="J33" s="10" t="s">
        <v>2</v>
      </c>
      <c r="K33" s="52"/>
      <c r="M33" s="44"/>
    </row>
    <row r="34" spans="2:13" x14ac:dyDescent="0.25">
      <c r="B34" s="82" t="s">
        <v>20</v>
      </c>
      <c r="C34" s="83"/>
      <c r="D34" s="83"/>
      <c r="E34" s="83"/>
      <c r="F34" s="83"/>
      <c r="G34" s="83"/>
      <c r="H34" s="83"/>
      <c r="I34" s="90">
        <f>IF(H29&gt;=100,IF(H29&lt;=250, I33*I31,"Outside range"),"Outside range")</f>
        <v>33.861282570401265</v>
      </c>
      <c r="J34" s="10" t="s">
        <v>21</v>
      </c>
      <c r="K34" s="52"/>
      <c r="M34" s="45" t="s">
        <v>93</v>
      </c>
    </row>
    <row r="35" spans="2:13" x14ac:dyDescent="0.25">
      <c r="B35" s="82" t="s">
        <v>63</v>
      </c>
      <c r="C35" s="83"/>
      <c r="D35" s="83"/>
      <c r="E35" s="83"/>
      <c r="F35" s="83"/>
      <c r="G35" s="83"/>
      <c r="H35" s="83"/>
      <c r="I35" s="90">
        <f>IF(H29&gt;=100,IF(H29&lt;=250,(I31*I32)-(I34),"Outside range"),"Outside range")</f>
        <v>8.138717429598735</v>
      </c>
      <c r="J35" s="10" t="s">
        <v>21</v>
      </c>
      <c r="K35" s="52"/>
      <c r="M35" s="43" t="s">
        <v>88</v>
      </c>
    </row>
    <row r="36" spans="2:13" x14ac:dyDescent="0.25">
      <c r="B36" s="66"/>
      <c r="C36" s="66"/>
      <c r="D36" s="66"/>
      <c r="E36" s="66"/>
      <c r="F36" s="66"/>
      <c r="G36" s="66"/>
      <c r="H36" s="66"/>
      <c r="I36" s="66"/>
      <c r="M36" s="47" t="s">
        <v>89</v>
      </c>
    </row>
    <row r="37" spans="2:13" x14ac:dyDescent="0.25">
      <c r="B37" s="66" t="s">
        <v>95</v>
      </c>
      <c r="C37" s="66"/>
      <c r="D37" s="66"/>
      <c r="E37" s="66"/>
      <c r="F37" s="66"/>
      <c r="G37" s="66"/>
      <c r="H37" s="66"/>
      <c r="I37" s="66"/>
    </row>
    <row r="38" spans="2:13" x14ac:dyDescent="0.25">
      <c r="B38" s="67">
        <v>1</v>
      </c>
      <c r="C38" s="66" t="s">
        <v>108</v>
      </c>
      <c r="D38" s="66"/>
      <c r="E38" s="66"/>
      <c r="F38" s="66"/>
      <c r="G38" s="66"/>
      <c r="H38" s="66"/>
      <c r="I38" s="66"/>
    </row>
    <row r="39" spans="2:13" x14ac:dyDescent="0.25">
      <c r="B39" s="67">
        <v>2</v>
      </c>
      <c r="C39" s="66" t="s">
        <v>79</v>
      </c>
      <c r="D39" s="66"/>
      <c r="E39" s="66"/>
      <c r="F39" s="66"/>
      <c r="G39" s="66"/>
      <c r="H39" s="66"/>
      <c r="I39" s="66"/>
    </row>
    <row r="40" spans="2:13" x14ac:dyDescent="0.25">
      <c r="B40" s="66"/>
      <c r="C40" s="66"/>
      <c r="D40" s="66"/>
      <c r="E40" s="66"/>
      <c r="F40" s="66"/>
      <c r="G40" s="66"/>
      <c r="H40" s="66"/>
      <c r="I40" s="66"/>
    </row>
    <row r="41" spans="2:13" x14ac:dyDescent="0.25">
      <c r="B41" s="68" t="s">
        <v>91</v>
      </c>
      <c r="C41" s="83"/>
      <c r="D41" s="83"/>
      <c r="E41" s="83"/>
      <c r="F41" s="83"/>
      <c r="G41" s="83"/>
      <c r="H41" s="83"/>
      <c r="I41" s="91"/>
      <c r="M41" s="41" t="s">
        <v>98</v>
      </c>
    </row>
    <row r="42" spans="2:13" ht="30" x14ac:dyDescent="0.25">
      <c r="B42" s="84" t="s">
        <v>71</v>
      </c>
      <c r="C42" s="72" t="s">
        <v>42</v>
      </c>
      <c r="D42" s="72" t="s">
        <v>43</v>
      </c>
      <c r="E42" s="72" t="s">
        <v>44</v>
      </c>
      <c r="F42" s="72" t="s">
        <v>45</v>
      </c>
      <c r="G42" s="72" t="s">
        <v>46</v>
      </c>
      <c r="H42" s="72" t="s">
        <v>47</v>
      </c>
      <c r="I42" s="73" t="s">
        <v>70</v>
      </c>
      <c r="M42" s="42" t="s">
        <v>84</v>
      </c>
    </row>
    <row r="43" spans="2:13" ht="30" x14ac:dyDescent="0.25">
      <c r="B43" s="85" t="s">
        <v>72</v>
      </c>
      <c r="C43" s="101"/>
      <c r="D43" s="101"/>
      <c r="E43" s="102">
        <v>16</v>
      </c>
      <c r="F43" s="102">
        <v>16</v>
      </c>
      <c r="G43" s="102">
        <v>16</v>
      </c>
      <c r="H43" s="102"/>
      <c r="I43" s="92">
        <f>SUM(E43:H43)</f>
        <v>48</v>
      </c>
      <c r="M43" s="42" t="s">
        <v>96</v>
      </c>
    </row>
    <row r="44" spans="2:13" x14ac:dyDescent="0.25">
      <c r="B44" s="86" t="s">
        <v>73</v>
      </c>
      <c r="C44" s="103"/>
      <c r="D44" s="103"/>
      <c r="E44" s="100"/>
      <c r="F44" s="100"/>
      <c r="G44" s="100"/>
      <c r="H44" s="100">
        <v>14</v>
      </c>
      <c r="I44" s="75">
        <f t="shared" ref="I44:I46" si="0">SUM(E44:H44)</f>
        <v>14</v>
      </c>
      <c r="M44" s="42" t="s">
        <v>97</v>
      </c>
    </row>
    <row r="45" spans="2:13" x14ac:dyDescent="0.25">
      <c r="B45" s="86" t="s">
        <v>74</v>
      </c>
      <c r="C45" s="103"/>
      <c r="D45" s="103"/>
      <c r="E45" s="100"/>
      <c r="F45" s="100"/>
      <c r="G45" s="100">
        <v>22</v>
      </c>
      <c r="H45" s="104"/>
      <c r="I45" s="93">
        <f t="shared" si="0"/>
        <v>22</v>
      </c>
      <c r="M45" s="42"/>
    </row>
    <row r="46" spans="2:13" x14ac:dyDescent="0.25">
      <c r="B46" s="87" t="s">
        <v>75</v>
      </c>
      <c r="C46" s="103"/>
      <c r="D46" s="103"/>
      <c r="E46" s="100"/>
      <c r="F46" s="100"/>
      <c r="G46" s="100"/>
      <c r="H46" s="104"/>
      <c r="I46" s="93">
        <f t="shared" si="0"/>
        <v>0</v>
      </c>
      <c r="M46" s="45" t="s">
        <v>102</v>
      </c>
    </row>
    <row r="47" spans="2:13" x14ac:dyDescent="0.25">
      <c r="B47" s="82" t="s">
        <v>76</v>
      </c>
      <c r="C47" s="88"/>
      <c r="D47" s="88"/>
      <c r="E47" s="105">
        <v>300</v>
      </c>
      <c r="F47" s="66"/>
      <c r="G47" s="66"/>
      <c r="H47" s="82" t="s">
        <v>77</v>
      </c>
      <c r="I47" s="75">
        <f>SUM(I43:I45)</f>
        <v>84</v>
      </c>
      <c r="M47" s="43" t="s">
        <v>99</v>
      </c>
    </row>
    <row r="48" spans="2:13" ht="30" x14ac:dyDescent="0.25">
      <c r="H48" s="7" t="s">
        <v>78</v>
      </c>
      <c r="I48" s="31">
        <f>I47*I31</f>
        <v>1680</v>
      </c>
      <c r="M48" s="43" t="s">
        <v>100</v>
      </c>
    </row>
    <row r="49" spans="8:13" ht="30" x14ac:dyDescent="0.25">
      <c r="H49" s="7" t="s">
        <v>107</v>
      </c>
      <c r="I49" s="31">
        <f>$E$47*I32</f>
        <v>630</v>
      </c>
      <c r="M49" s="46" t="s">
        <v>101</v>
      </c>
    </row>
    <row r="50" spans="8:13" x14ac:dyDescent="0.25">
      <c r="H50" s="7" t="s">
        <v>81</v>
      </c>
      <c r="I50" s="31">
        <f>I49-I47</f>
        <v>546</v>
      </c>
    </row>
    <row r="51" spans="8:13" x14ac:dyDescent="0.25">
      <c r="H51" s="7" t="s">
        <v>82</v>
      </c>
      <c r="I51" s="31">
        <f>$E$47*I33</f>
        <v>507.91923855601902</v>
      </c>
    </row>
    <row r="52" spans="8:13" x14ac:dyDescent="0.25">
      <c r="H52" s="7" t="s">
        <v>83</v>
      </c>
      <c r="I52" s="31">
        <f>I51-I47</f>
        <v>423.91923855601902</v>
      </c>
    </row>
  </sheetData>
  <sheetProtection password="D353" sheet="1" objects="1" scenarios="1" selectLockedCells="1" selectUnlockedCells="1"/>
  <protectedRanges>
    <protectedRange sqref="E43:H46 E47" name="inputs"/>
    <protectedRange sqref="I31:I32" name="yield"/>
    <protectedRange sqref="B29:G29" name="rainfall"/>
  </protectedRanges>
  <pageMargins left="0.23622047244094491" right="0.23622047244094491" top="0.35433070866141736" bottom="0.35433070866141736" header="0.31496062992125984" footer="0.31496062992125984"/>
  <pageSetup paperSize="9" scale="64" orientation="landscape" verticalDpi="0" r:id="rId1"/>
  <headerFoot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2"/>
  <sheetViews>
    <sheetView topLeftCell="A31" zoomScale="110" zoomScaleNormal="110" workbookViewId="0">
      <selection activeCell="H21" sqref="H21"/>
    </sheetView>
  </sheetViews>
  <sheetFormatPr defaultRowHeight="15" x14ac:dyDescent="0.25"/>
  <cols>
    <col min="1" max="1" width="3.7109375" style="55" customWidth="1"/>
    <col min="2" max="2" width="14" style="55" customWidth="1"/>
    <col min="3" max="3" width="9.5703125" style="55" customWidth="1"/>
    <col min="4" max="5" width="9.140625" style="55"/>
    <col min="6" max="6" width="11.42578125" style="55" customWidth="1"/>
    <col min="7" max="7" width="9.140625" style="55"/>
    <col min="8" max="8" width="38.85546875" style="55" customWidth="1"/>
    <col min="9" max="9" width="19.28515625" style="55" customWidth="1"/>
    <col min="10" max="10" width="16.5703125" style="55" customWidth="1"/>
    <col min="11" max="11" width="13.5703125" style="55" customWidth="1"/>
    <col min="12" max="12" width="9.140625" style="55"/>
    <col min="13" max="13" width="9.140625" style="55" customWidth="1"/>
    <col min="14" max="16" width="9.140625" style="55"/>
    <col min="17" max="17" width="8.85546875" style="55"/>
    <col min="18" max="18" width="25.7109375" style="55" customWidth="1"/>
    <col min="19" max="19" width="11.7109375" style="55" customWidth="1"/>
    <col min="20" max="20" width="11.5703125" style="55" customWidth="1"/>
    <col min="21" max="16384" width="9.140625" style="55"/>
  </cols>
  <sheetData>
    <row r="1" spans="1:16" ht="42" customHeight="1" x14ac:dyDescent="0.25">
      <c r="A1" s="63"/>
      <c r="B1" s="64" t="s">
        <v>134</v>
      </c>
      <c r="C1" s="64"/>
      <c r="D1" s="64"/>
      <c r="E1" s="64"/>
      <c r="F1" s="65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ht="17.25" customHeight="1" x14ac:dyDescent="0.25">
      <c r="A2" s="66"/>
      <c r="B2" s="66" t="s">
        <v>126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6" x14ac:dyDescent="0.25">
      <c r="A3" s="67"/>
      <c r="B3" s="67">
        <v>1</v>
      </c>
      <c r="C3" s="66" t="s">
        <v>48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16" x14ac:dyDescent="0.25">
      <c r="A4" s="67"/>
      <c r="B4" s="67">
        <v>2</v>
      </c>
      <c r="C4" s="66" t="s">
        <v>49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6" x14ac:dyDescent="0.25">
      <c r="A5" s="67"/>
      <c r="B5" s="67">
        <v>3</v>
      </c>
      <c r="C5" s="66" t="s">
        <v>50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6" x14ac:dyDescent="0.25">
      <c r="A6" s="67"/>
      <c r="B6" s="67">
        <v>4</v>
      </c>
      <c r="C6" s="66" t="s">
        <v>131</v>
      </c>
      <c r="D6" s="66"/>
      <c r="E6" s="66"/>
      <c r="F6" s="66" t="s">
        <v>40</v>
      </c>
      <c r="G6" s="66"/>
      <c r="H6" s="66" t="s">
        <v>40</v>
      </c>
      <c r="I6" s="66"/>
      <c r="J6" s="66"/>
      <c r="K6" s="66"/>
      <c r="L6" s="66"/>
      <c r="M6" s="66"/>
      <c r="N6" s="66"/>
      <c r="O6" s="66"/>
      <c r="P6" s="66"/>
    </row>
    <row r="7" spans="1:16" x14ac:dyDescent="0.25">
      <c r="A7" s="67"/>
      <c r="B7" s="67">
        <v>5</v>
      </c>
      <c r="C7" s="66" t="s">
        <v>51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6" x14ac:dyDescent="0.25">
      <c r="A8" s="67"/>
      <c r="B8" s="67">
        <v>6</v>
      </c>
      <c r="C8" s="66" t="s">
        <v>103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</row>
    <row r="9" spans="1:16" x14ac:dyDescent="0.25">
      <c r="A9" s="67"/>
      <c r="B9" s="67">
        <v>7</v>
      </c>
      <c r="C9" s="66" t="s">
        <v>53</v>
      </c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spans="1:16" x14ac:dyDescent="0.25">
      <c r="A10" s="67"/>
      <c r="B10" s="67">
        <v>8</v>
      </c>
      <c r="C10" s="66" t="s">
        <v>114</v>
      </c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</row>
    <row r="11" spans="1:16" x14ac:dyDescent="0.25">
      <c r="A11" s="67"/>
      <c r="B11" s="67">
        <v>9</v>
      </c>
      <c r="C11" s="66" t="s">
        <v>54</v>
      </c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</row>
    <row r="12" spans="1:16" x14ac:dyDescent="0.25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</row>
    <row r="13" spans="1:16" x14ac:dyDescent="0.25">
      <c r="A13" s="66"/>
      <c r="B13" s="66" t="s">
        <v>129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</row>
    <row r="14" spans="1:16" x14ac:dyDescent="0.25">
      <c r="A14" s="67"/>
      <c r="B14" s="67">
        <v>1</v>
      </c>
      <c r="C14" s="66" t="s">
        <v>55</v>
      </c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</row>
    <row r="15" spans="1:16" x14ac:dyDescent="0.25">
      <c r="A15" s="67"/>
      <c r="B15" s="67">
        <v>2</v>
      </c>
      <c r="C15" s="66" t="s">
        <v>56</v>
      </c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</row>
    <row r="16" spans="1:16" x14ac:dyDescent="0.25">
      <c r="A16" s="67"/>
      <c r="B16" s="67">
        <v>3</v>
      </c>
      <c r="C16" s="66" t="s">
        <v>57</v>
      </c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</row>
    <row r="17" spans="1:20" x14ac:dyDescent="0.25">
      <c r="A17" s="67"/>
      <c r="B17" s="67">
        <v>4</v>
      </c>
      <c r="C17" s="66" t="s">
        <v>130</v>
      </c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</row>
    <row r="18" spans="1:20" x14ac:dyDescent="0.25">
      <c r="A18" s="67"/>
      <c r="B18" s="67">
        <v>5</v>
      </c>
      <c r="C18" s="66" t="s">
        <v>104</v>
      </c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</row>
    <row r="19" spans="1:20" x14ac:dyDescent="0.25">
      <c r="A19" s="67"/>
      <c r="B19" s="67">
        <v>6</v>
      </c>
      <c r="C19" s="66" t="s">
        <v>59</v>
      </c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</row>
    <row r="20" spans="1:20" ht="18" customHeight="1" x14ac:dyDescent="0.25">
      <c r="A20" s="66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R20" s="57"/>
    </row>
    <row r="21" spans="1:20" x14ac:dyDescent="0.25">
      <c r="A21" s="66"/>
      <c r="B21" s="66" t="s">
        <v>92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R21" s="57"/>
      <c r="S21" s="56"/>
      <c r="T21" s="56"/>
    </row>
    <row r="22" spans="1:20" x14ac:dyDescent="0.25">
      <c r="A22" s="67"/>
      <c r="B22" s="67">
        <v>1</v>
      </c>
      <c r="C22" s="66" t="s">
        <v>60</v>
      </c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R22" s="57"/>
      <c r="S22" s="56"/>
      <c r="T22" s="56"/>
    </row>
    <row r="23" spans="1:20" x14ac:dyDescent="0.25">
      <c r="A23" s="67"/>
      <c r="B23" s="67">
        <v>2</v>
      </c>
      <c r="C23" s="66" t="s">
        <v>61</v>
      </c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</row>
    <row r="24" spans="1:20" x14ac:dyDescent="0.25">
      <c r="A24" s="67"/>
      <c r="B24" s="67">
        <v>3</v>
      </c>
      <c r="C24" s="66" t="s">
        <v>105</v>
      </c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</row>
    <row r="25" spans="1:20" x14ac:dyDescent="0.25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</row>
    <row r="26" spans="1:20" ht="21" customHeight="1" x14ac:dyDescent="0.25">
      <c r="A26" s="66"/>
      <c r="B26" s="68" t="s">
        <v>124</v>
      </c>
      <c r="C26" s="69"/>
      <c r="D26" s="69"/>
      <c r="E26" s="69"/>
      <c r="F26" s="69"/>
      <c r="G26" s="69"/>
      <c r="H26" s="69"/>
      <c r="I26" s="70"/>
      <c r="J26" s="70"/>
      <c r="K26" s="71"/>
      <c r="L26" s="66"/>
      <c r="M26" s="66"/>
      <c r="N26" s="66"/>
      <c r="O26" s="66"/>
      <c r="P26" s="66"/>
      <c r="Q26" s="57"/>
    </row>
    <row r="27" spans="1:20" ht="45" x14ac:dyDescent="0.25">
      <c r="A27" s="66"/>
      <c r="B27" s="72" t="s">
        <v>42</v>
      </c>
      <c r="C27" s="72" t="s">
        <v>43</v>
      </c>
      <c r="D27" s="72" t="s">
        <v>44</v>
      </c>
      <c r="E27" s="72" t="s">
        <v>45</v>
      </c>
      <c r="F27" s="72" t="s">
        <v>46</v>
      </c>
      <c r="G27" s="72" t="s">
        <v>47</v>
      </c>
      <c r="H27" s="94" t="s">
        <v>132</v>
      </c>
      <c r="I27" s="73" t="s">
        <v>41</v>
      </c>
      <c r="J27" s="73" t="s">
        <v>117</v>
      </c>
      <c r="K27" s="74" t="s">
        <v>67</v>
      </c>
      <c r="L27" s="96" t="s">
        <v>38</v>
      </c>
      <c r="M27" s="66"/>
      <c r="N27" s="66"/>
      <c r="O27" s="66"/>
      <c r="P27" s="66"/>
      <c r="R27" s="57"/>
      <c r="S27" s="57"/>
    </row>
    <row r="28" spans="1:20" ht="21.6" customHeight="1" x14ac:dyDescent="0.25">
      <c r="B28" s="2"/>
      <c r="C28" s="2"/>
      <c r="D28" s="2"/>
      <c r="E28" s="2"/>
      <c r="F28" s="2"/>
      <c r="G28" s="2"/>
      <c r="H28" s="1">
        <f>SUM(B28:G28)</f>
        <v>0</v>
      </c>
      <c r="I28" s="76" t="str">
        <f>IF(H28 &gt;= 100, IF(H28&lt;=250,VLOOKUP(H28,Sheet2!$A:$E,2,FALSE), _xlfn.CONCAT("&gt;", ROUND(Sheet2!B17, 2))), "&lt;0")</f>
        <v>&lt;0</v>
      </c>
      <c r="J28" s="76">
        <f>IF(H28 &gt;= 100, IF(H28 &lt;= 250, VLOOKUP(H28,Sheet2!$A:$J,9,FALSE), ROUND(Sheet2!I17,2)),ROUND(Sheet2!I2,2))</f>
        <v>-0.12</v>
      </c>
      <c r="K28" s="76">
        <f>IF(H28&gt;=100, IF(H28&lt;=250, VLOOKUP(H28,Sheet2!$A:$J,10,FALSE), ROUND(Sheet2!J17,2)), ROUND(Sheet2!J2,2))</f>
        <v>0.12</v>
      </c>
      <c r="L28" s="106" t="str">
        <f>IF(H28 &gt;= 100, IF(H28 &gt; 250, "Estimated rainfall is beyond the range of observed values - Prop. yield loss and range of yield losses are approximate",""), "Estimated rainfall is beyond the range of observed values - Prop. yield loss and range of yield losses are approximate")</f>
        <v>Estimated rainfall is beyond the range of observed values - Prop. yield loss and range of yield losses are approximate</v>
      </c>
      <c r="M28" s="106"/>
      <c r="N28" s="106"/>
      <c r="O28" s="106"/>
      <c r="Q28" s="57"/>
      <c r="R28" s="56"/>
      <c r="S28" s="56"/>
    </row>
    <row r="29" spans="1:20" ht="27.6" customHeight="1" x14ac:dyDescent="0.25">
      <c r="A29" s="66"/>
      <c r="B29" s="81" t="s">
        <v>25</v>
      </c>
      <c r="C29" s="77"/>
      <c r="D29" s="77"/>
      <c r="E29" s="77"/>
      <c r="F29" s="77"/>
      <c r="G29" s="77"/>
      <c r="H29" s="77"/>
      <c r="I29" s="78" t="s">
        <v>125</v>
      </c>
      <c r="J29" s="79" t="s">
        <v>26</v>
      </c>
      <c r="K29" s="80"/>
      <c r="L29" s="106"/>
      <c r="M29" s="106"/>
      <c r="N29" s="106"/>
      <c r="O29" s="106"/>
      <c r="Q29" s="57"/>
      <c r="R29" s="56"/>
      <c r="S29" s="56"/>
    </row>
    <row r="30" spans="1:20" ht="19.899999999999999" customHeight="1" x14ac:dyDescent="0.25">
      <c r="A30" s="66"/>
      <c r="B30" s="82" t="s">
        <v>27</v>
      </c>
      <c r="C30" s="83"/>
      <c r="D30" s="83"/>
      <c r="E30" s="83"/>
      <c r="F30" s="83"/>
      <c r="G30" s="83"/>
      <c r="H30" s="83"/>
      <c r="I30" s="59"/>
      <c r="J30" s="60" t="s">
        <v>0</v>
      </c>
      <c r="K30" s="58"/>
      <c r="Q30" s="57"/>
      <c r="R30" s="56"/>
      <c r="S30" s="56"/>
    </row>
    <row r="31" spans="1:20" x14ac:dyDescent="0.25">
      <c r="A31" s="66"/>
      <c r="B31" s="82" t="s">
        <v>1</v>
      </c>
      <c r="C31" s="83"/>
      <c r="D31" s="83"/>
      <c r="E31" s="83"/>
      <c r="F31" s="83"/>
      <c r="G31" s="83"/>
      <c r="H31" s="83"/>
      <c r="I31" s="59"/>
      <c r="J31" s="61" t="s">
        <v>2</v>
      </c>
      <c r="K31" s="58"/>
    </row>
    <row r="32" spans="1:20" x14ac:dyDescent="0.25">
      <c r="A32" s="66"/>
      <c r="B32" s="82" t="s">
        <v>19</v>
      </c>
      <c r="C32" s="83"/>
      <c r="D32" s="83"/>
      <c r="E32" s="83"/>
      <c r="F32" s="83"/>
      <c r="G32" s="83"/>
      <c r="H32" s="83"/>
      <c r="I32" s="90" t="str">
        <f>IF(H28&gt;=100,IF(H28&lt;=250, (I31)-(I31*I28), "Outside range"), "Outside range")</f>
        <v>Outside range</v>
      </c>
      <c r="J32" s="88" t="s">
        <v>2</v>
      </c>
      <c r="K32" s="71"/>
      <c r="L32" s="66"/>
    </row>
    <row r="33" spans="1:12" x14ac:dyDescent="0.25">
      <c r="A33" s="66"/>
      <c r="B33" s="82" t="s">
        <v>20</v>
      </c>
      <c r="C33" s="83"/>
      <c r="D33" s="83"/>
      <c r="E33" s="83"/>
      <c r="F33" s="83"/>
      <c r="G33" s="83"/>
      <c r="H33" s="83"/>
      <c r="I33" s="90" t="str">
        <f>IF(H28&gt;=100,IF(H28&lt;=250, I32*I30,"Outside range"),"Outside range")</f>
        <v>Outside range</v>
      </c>
      <c r="J33" s="88" t="s">
        <v>21</v>
      </c>
      <c r="K33" s="71"/>
      <c r="L33" s="66"/>
    </row>
    <row r="34" spans="1:12" x14ac:dyDescent="0.25">
      <c r="A34" s="66"/>
      <c r="B34" s="82" t="s">
        <v>22</v>
      </c>
      <c r="C34" s="83"/>
      <c r="D34" s="83"/>
      <c r="E34" s="83"/>
      <c r="F34" s="83"/>
      <c r="G34" s="83"/>
      <c r="H34" s="83"/>
      <c r="I34" s="90" t="str">
        <f>IF(H28&gt;=100,IF(H28&lt;=250,(I30*I31)-(I33),"Outside range"),"Outside range")</f>
        <v>Outside range</v>
      </c>
      <c r="J34" s="88" t="s">
        <v>21</v>
      </c>
      <c r="K34" s="71"/>
      <c r="L34" s="66"/>
    </row>
    <row r="35" spans="1:12" x14ac:dyDescent="0.25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</row>
    <row r="36" spans="1:12" x14ac:dyDescent="0.25">
      <c r="A36" s="66"/>
      <c r="B36" s="66" t="s">
        <v>106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</row>
    <row r="37" spans="1:12" x14ac:dyDescent="0.25">
      <c r="A37" s="66"/>
      <c r="B37" s="67">
        <v>1</v>
      </c>
      <c r="C37" s="66" t="s">
        <v>115</v>
      </c>
      <c r="D37" s="66"/>
      <c r="E37" s="66"/>
      <c r="F37" s="66"/>
      <c r="G37" s="66"/>
      <c r="H37" s="66"/>
      <c r="I37" s="66"/>
      <c r="J37" s="66"/>
      <c r="K37" s="66"/>
      <c r="L37" s="66"/>
    </row>
    <row r="38" spans="1:12" x14ac:dyDescent="0.25">
      <c r="A38" s="66"/>
      <c r="B38" s="67">
        <v>2</v>
      </c>
      <c r="C38" s="66" t="s">
        <v>120</v>
      </c>
      <c r="D38" s="66"/>
      <c r="E38" s="66"/>
      <c r="F38" s="66"/>
      <c r="G38" s="66"/>
      <c r="H38" s="66"/>
      <c r="I38" s="66"/>
      <c r="J38" s="66"/>
      <c r="K38" s="66"/>
      <c r="L38" s="66"/>
    </row>
    <row r="39" spans="1:12" x14ac:dyDescent="0.25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</row>
    <row r="40" spans="1:12" x14ac:dyDescent="0.25">
      <c r="A40" s="66"/>
      <c r="B40" s="68" t="s">
        <v>91</v>
      </c>
      <c r="C40" s="83"/>
      <c r="D40" s="83"/>
      <c r="E40" s="83"/>
      <c r="F40" s="83"/>
      <c r="G40" s="83"/>
      <c r="H40" s="83"/>
      <c r="I40" s="91"/>
      <c r="J40" s="66"/>
      <c r="K40" s="66"/>
      <c r="L40" s="66"/>
    </row>
    <row r="41" spans="1:12" x14ac:dyDescent="0.25">
      <c r="A41" s="66"/>
      <c r="B41" s="84" t="s">
        <v>71</v>
      </c>
      <c r="C41" s="72" t="s">
        <v>42</v>
      </c>
      <c r="D41" s="72" t="s">
        <v>43</v>
      </c>
      <c r="E41" s="72" t="s">
        <v>44</v>
      </c>
      <c r="F41" s="72" t="s">
        <v>45</v>
      </c>
      <c r="G41" s="72" t="s">
        <v>46</v>
      </c>
      <c r="H41" s="72" t="s">
        <v>47</v>
      </c>
      <c r="I41" s="73" t="s">
        <v>70</v>
      </c>
      <c r="J41" s="66"/>
      <c r="K41" s="66"/>
      <c r="L41" s="66"/>
    </row>
    <row r="42" spans="1:12" x14ac:dyDescent="0.25">
      <c r="B42" s="85" t="s">
        <v>72</v>
      </c>
      <c r="C42" s="62"/>
      <c r="D42" s="62"/>
      <c r="E42" s="62"/>
      <c r="F42" s="62"/>
      <c r="G42" s="62"/>
      <c r="H42" s="62"/>
      <c r="I42" s="92">
        <f>SUM(C42:H42)</f>
        <v>0</v>
      </c>
      <c r="J42" s="66"/>
      <c r="K42" s="66"/>
      <c r="L42" s="66"/>
    </row>
    <row r="43" spans="1:12" x14ac:dyDescent="0.25">
      <c r="B43" s="86" t="s">
        <v>73</v>
      </c>
      <c r="C43" s="62"/>
      <c r="D43" s="62"/>
      <c r="E43" s="62"/>
      <c r="F43" s="62"/>
      <c r="G43" s="62"/>
      <c r="H43" s="62"/>
      <c r="I43" s="75">
        <f>SUM(C43:H43)</f>
        <v>0</v>
      </c>
      <c r="J43" s="66"/>
      <c r="K43" s="66"/>
      <c r="L43" s="66"/>
    </row>
    <row r="44" spans="1:12" x14ac:dyDescent="0.25">
      <c r="B44" s="86" t="s">
        <v>74</v>
      </c>
      <c r="C44" s="62"/>
      <c r="D44" s="62"/>
      <c r="E44" s="62"/>
      <c r="F44" s="62"/>
      <c r="G44" s="62"/>
      <c r="H44" s="62"/>
      <c r="I44" s="93">
        <f>SUM(C44:H44)</f>
        <v>0</v>
      </c>
      <c r="J44" s="66"/>
      <c r="K44" s="66"/>
      <c r="L44" s="66"/>
    </row>
    <row r="45" spans="1:12" x14ac:dyDescent="0.25">
      <c r="B45" s="87" t="s">
        <v>75</v>
      </c>
      <c r="C45" s="62"/>
      <c r="D45" s="62"/>
      <c r="E45" s="62"/>
      <c r="F45" s="62"/>
      <c r="G45" s="62"/>
      <c r="H45" s="62"/>
      <c r="I45" s="93">
        <f>SUM(C45:H45)</f>
        <v>0</v>
      </c>
      <c r="J45" s="66"/>
      <c r="K45" s="66"/>
      <c r="L45" s="66"/>
    </row>
    <row r="46" spans="1:12" x14ac:dyDescent="0.25">
      <c r="B46" s="107" t="s">
        <v>76</v>
      </c>
      <c r="C46" s="108"/>
      <c r="D46" s="109"/>
      <c r="E46" s="40"/>
      <c r="F46" s="66"/>
      <c r="G46" s="66"/>
      <c r="H46" s="82" t="s">
        <v>77</v>
      </c>
      <c r="I46" s="75">
        <f>SUM(I42:I44)</f>
        <v>0</v>
      </c>
      <c r="J46" s="66"/>
      <c r="K46" s="66"/>
      <c r="L46" s="66"/>
    </row>
    <row r="47" spans="1:12" x14ac:dyDescent="0.25">
      <c r="B47" s="66"/>
      <c r="C47" s="66"/>
      <c r="D47" s="66"/>
      <c r="F47" s="66"/>
      <c r="G47" s="66"/>
      <c r="H47" s="82" t="s">
        <v>78</v>
      </c>
      <c r="I47" s="89">
        <f>I46*I30</f>
        <v>0</v>
      </c>
      <c r="J47" s="66"/>
      <c r="K47" s="66"/>
      <c r="L47" s="66"/>
    </row>
    <row r="48" spans="1:12" x14ac:dyDescent="0.25">
      <c r="B48" s="66"/>
      <c r="C48" s="66"/>
      <c r="D48" s="66"/>
      <c r="F48" s="66"/>
      <c r="G48" s="66"/>
      <c r="H48" s="82" t="s">
        <v>80</v>
      </c>
      <c r="I48" s="89">
        <f>$E$46*I31</f>
        <v>0</v>
      </c>
      <c r="J48" s="66"/>
      <c r="K48" s="66"/>
      <c r="L48" s="66"/>
    </row>
    <row r="49" spans="2:12" x14ac:dyDescent="0.25">
      <c r="B49" s="66"/>
      <c r="C49" s="66"/>
      <c r="D49" s="66"/>
      <c r="F49" s="66"/>
      <c r="G49" s="66"/>
      <c r="H49" s="82" t="s">
        <v>81</v>
      </c>
      <c r="I49" s="89">
        <f>I48-I46</f>
        <v>0</v>
      </c>
      <c r="J49" s="66"/>
      <c r="K49" s="66"/>
      <c r="L49" s="66"/>
    </row>
    <row r="50" spans="2:12" x14ac:dyDescent="0.25">
      <c r="B50" s="66"/>
      <c r="C50" s="66"/>
      <c r="D50" s="66"/>
      <c r="F50" s="66"/>
      <c r="G50" s="66"/>
      <c r="H50" s="82" t="s">
        <v>82</v>
      </c>
      <c r="I50" s="89" t="e">
        <f>$E$46*I32</f>
        <v>#VALUE!</v>
      </c>
      <c r="J50" s="66"/>
      <c r="K50" s="66"/>
      <c r="L50" s="66"/>
    </row>
    <row r="51" spans="2:12" x14ac:dyDescent="0.25">
      <c r="B51" s="66"/>
      <c r="C51" s="66"/>
      <c r="D51" s="66"/>
      <c r="F51" s="66"/>
      <c r="G51" s="66"/>
      <c r="H51" s="82" t="s">
        <v>83</v>
      </c>
      <c r="I51" s="89" t="e">
        <f>I50-I46</f>
        <v>#VALUE!</v>
      </c>
      <c r="J51" s="66"/>
      <c r="K51" s="66"/>
      <c r="L51" s="66"/>
    </row>
    <row r="52" spans="2:12" x14ac:dyDescent="0.25">
      <c r="B52" s="66"/>
      <c r="C52" s="66"/>
      <c r="D52" s="66"/>
    </row>
  </sheetData>
  <sheetProtection password="D353" sheet="1" objects="1" scenarios="1"/>
  <protectedRanges>
    <protectedRange sqref="C42:H45" name="inputs"/>
    <protectedRange sqref="I30:I31" name="yield"/>
    <protectedRange sqref="E46" name="Inputs_1"/>
    <protectedRange sqref="B28:G28" name="Rainfall_2"/>
  </protectedRanges>
  <mergeCells count="2">
    <mergeCell ref="L28:O29"/>
    <mergeCell ref="B46:D46"/>
  </mergeCells>
  <pageMargins left="0.23622047244094491" right="0.23622047244094491" top="0.35433070866141736" bottom="0.35433070866141736" header="0.31496062992125984" footer="0.31496062992125984"/>
  <pageSetup paperSize="9" scale="65" orientation="landscape" verticalDpi="0" r:id="rId1"/>
  <headerFoot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2"/>
  <sheetViews>
    <sheetView zoomScale="110" zoomScaleNormal="110" workbookViewId="0">
      <selection activeCell="H22" sqref="H22"/>
    </sheetView>
  </sheetViews>
  <sheetFormatPr defaultRowHeight="15" x14ac:dyDescent="0.25"/>
  <cols>
    <col min="1" max="1" width="5.7109375" customWidth="1"/>
    <col min="2" max="2" width="9.5703125" customWidth="1"/>
    <col min="6" max="6" width="9.42578125" customWidth="1"/>
    <col min="7" max="7" width="9.5703125" customWidth="1"/>
    <col min="8" max="8" width="38.5703125" customWidth="1"/>
    <col min="9" max="9" width="16.85546875" customWidth="1"/>
    <col min="10" max="10" width="16.7109375" customWidth="1"/>
    <col min="11" max="11" width="14.5703125" customWidth="1"/>
    <col min="16" max="16" width="8.85546875"/>
    <col min="17" max="17" width="25.7109375" customWidth="1"/>
    <col min="18" max="18" width="11.7109375" customWidth="1"/>
    <col min="19" max="19" width="11.5703125" customWidth="1"/>
  </cols>
  <sheetData>
    <row r="1" spans="1:12" ht="29.25" customHeight="1" x14ac:dyDescent="0.25">
      <c r="A1" s="66"/>
      <c r="B1" s="64" t="s">
        <v>135</v>
      </c>
      <c r="C1" s="65"/>
      <c r="D1" s="65"/>
      <c r="E1" s="65"/>
      <c r="F1" s="65"/>
      <c r="G1" s="65"/>
      <c r="H1" s="66"/>
      <c r="I1" s="66"/>
      <c r="J1" s="66"/>
      <c r="K1" s="66"/>
      <c r="L1" s="66"/>
    </row>
    <row r="2" spans="1:12" ht="14.25" customHeight="1" x14ac:dyDescent="0.25">
      <c r="A2" s="66"/>
      <c r="B2" s="63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x14ac:dyDescent="0.25">
      <c r="A3" s="66"/>
      <c r="B3" s="66" t="s">
        <v>126</v>
      </c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2" x14ac:dyDescent="0.25">
      <c r="A4" s="67"/>
      <c r="B4" s="67">
        <v>1</v>
      </c>
      <c r="C4" s="66" t="s">
        <v>48</v>
      </c>
      <c r="D4" s="66"/>
      <c r="E4" s="66"/>
      <c r="F4" s="66"/>
      <c r="G4" s="66"/>
      <c r="H4" s="66"/>
      <c r="I4" s="66"/>
      <c r="J4" s="66"/>
      <c r="K4" s="66"/>
      <c r="L4" s="66"/>
    </row>
    <row r="5" spans="1:12" x14ac:dyDescent="0.25">
      <c r="A5" s="67"/>
      <c r="B5" s="67">
        <v>2</v>
      </c>
      <c r="C5" s="66" t="s">
        <v>127</v>
      </c>
      <c r="D5" s="66"/>
      <c r="E5" s="66"/>
      <c r="F5" s="66"/>
      <c r="G5" s="66"/>
      <c r="H5" s="66"/>
      <c r="I5" s="66"/>
      <c r="J5" s="66"/>
      <c r="K5" s="66"/>
      <c r="L5" s="66"/>
    </row>
    <row r="6" spans="1:12" x14ac:dyDescent="0.25">
      <c r="A6" s="67"/>
      <c r="B6" s="67">
        <v>3</v>
      </c>
      <c r="C6" s="66" t="s">
        <v>50</v>
      </c>
      <c r="D6" s="66"/>
      <c r="E6" s="66"/>
      <c r="F6" s="66"/>
      <c r="G6" s="66"/>
      <c r="H6" s="66"/>
      <c r="I6" s="66"/>
      <c r="J6" s="66"/>
      <c r="K6" s="66"/>
      <c r="L6" s="66"/>
    </row>
    <row r="7" spans="1:12" x14ac:dyDescent="0.25">
      <c r="A7" s="67"/>
      <c r="B7" s="67">
        <v>4</v>
      </c>
      <c r="C7" s="66" t="s">
        <v>128</v>
      </c>
      <c r="D7" s="66"/>
      <c r="E7" s="66"/>
      <c r="F7" s="66"/>
      <c r="G7" s="66"/>
      <c r="H7" s="66"/>
      <c r="I7" s="66"/>
      <c r="J7" s="66"/>
      <c r="K7" s="66"/>
      <c r="L7" s="66"/>
    </row>
    <row r="8" spans="1:12" x14ac:dyDescent="0.25">
      <c r="A8" s="67"/>
      <c r="B8" s="67">
        <v>5</v>
      </c>
      <c r="C8" s="66" t="s">
        <v>51</v>
      </c>
      <c r="D8" s="66"/>
      <c r="E8" s="66"/>
      <c r="F8" s="66"/>
      <c r="G8" s="66"/>
      <c r="H8" s="66"/>
      <c r="I8" s="66"/>
      <c r="J8" s="66"/>
      <c r="K8" s="66"/>
      <c r="L8" s="66"/>
    </row>
    <row r="9" spans="1:12" x14ac:dyDescent="0.25">
      <c r="A9" s="67"/>
      <c r="B9" s="67">
        <v>6</v>
      </c>
      <c r="C9" s="66" t="s">
        <v>52</v>
      </c>
      <c r="D9" s="66"/>
      <c r="E9" s="66"/>
      <c r="F9" s="66"/>
      <c r="G9" s="66"/>
      <c r="H9" s="66"/>
      <c r="I9" s="66"/>
      <c r="J9" s="66"/>
      <c r="K9" s="66"/>
      <c r="L9" s="66"/>
    </row>
    <row r="10" spans="1:12" x14ac:dyDescent="0.25">
      <c r="A10" s="67"/>
      <c r="B10" s="67">
        <v>7</v>
      </c>
      <c r="C10" s="66" t="s">
        <v>53</v>
      </c>
      <c r="D10" s="66"/>
      <c r="E10" s="66"/>
      <c r="F10" s="66"/>
      <c r="G10" s="66"/>
      <c r="H10" s="66"/>
      <c r="I10" s="66"/>
      <c r="J10" s="66"/>
      <c r="K10" s="66"/>
      <c r="L10" s="66"/>
    </row>
    <row r="11" spans="1:12" x14ac:dyDescent="0.25">
      <c r="A11" s="67"/>
      <c r="B11" s="67">
        <v>8</v>
      </c>
      <c r="C11" s="66" t="s">
        <v>114</v>
      </c>
      <c r="D11" s="66"/>
      <c r="E11" s="66"/>
      <c r="F11" s="66"/>
      <c r="G11" s="66"/>
      <c r="H11" s="66"/>
      <c r="I11" s="66"/>
      <c r="J11" s="66"/>
      <c r="K11" s="66"/>
      <c r="L11" s="66"/>
    </row>
    <row r="12" spans="1:12" x14ac:dyDescent="0.25">
      <c r="A12" s="67"/>
      <c r="B12" s="67">
        <v>9</v>
      </c>
      <c r="C12" s="66" t="s">
        <v>133</v>
      </c>
      <c r="D12" s="66"/>
      <c r="E12" s="66"/>
      <c r="F12" s="66"/>
      <c r="G12" s="66"/>
      <c r="H12" s="66"/>
      <c r="I12" s="66"/>
      <c r="J12" s="66"/>
      <c r="K12" s="66"/>
      <c r="L12" s="66"/>
    </row>
    <row r="13" spans="1:12" x14ac:dyDescent="0.25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</row>
    <row r="14" spans="1:12" x14ac:dyDescent="0.25">
      <c r="A14" s="66"/>
      <c r="B14" s="66" t="s">
        <v>129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</row>
    <row r="15" spans="1:12" x14ac:dyDescent="0.25">
      <c r="A15" s="67"/>
      <c r="B15" s="67">
        <v>1</v>
      </c>
      <c r="C15" s="66" t="s">
        <v>55</v>
      </c>
      <c r="D15" s="66"/>
      <c r="E15" s="66"/>
      <c r="F15" s="66"/>
      <c r="G15" s="66"/>
      <c r="H15" s="66"/>
      <c r="I15" s="66"/>
      <c r="J15" s="66"/>
      <c r="K15" s="66"/>
      <c r="L15" s="66"/>
    </row>
    <row r="16" spans="1:12" x14ac:dyDescent="0.25">
      <c r="A16" s="67"/>
      <c r="B16" s="67">
        <v>2</v>
      </c>
      <c r="C16" s="66" t="s">
        <v>56</v>
      </c>
      <c r="D16" s="66"/>
      <c r="E16" s="66"/>
      <c r="F16" s="66"/>
      <c r="G16" s="66"/>
      <c r="H16" s="66"/>
      <c r="I16" s="66"/>
      <c r="J16" s="66"/>
      <c r="K16" s="66"/>
      <c r="L16" s="66"/>
    </row>
    <row r="17" spans="1:19" x14ac:dyDescent="0.25">
      <c r="A17" s="67"/>
      <c r="B17" s="67">
        <v>3</v>
      </c>
      <c r="C17" s="66" t="s">
        <v>57</v>
      </c>
      <c r="D17" s="66"/>
      <c r="E17" s="66"/>
      <c r="F17" s="66"/>
      <c r="G17" s="66"/>
      <c r="H17" s="66"/>
      <c r="I17" s="66"/>
      <c r="J17" s="66"/>
      <c r="K17" s="66"/>
      <c r="L17" s="66"/>
    </row>
    <row r="18" spans="1:19" x14ac:dyDescent="0.25">
      <c r="A18" s="67"/>
      <c r="B18" s="67">
        <v>4</v>
      </c>
      <c r="C18" s="66" t="s">
        <v>130</v>
      </c>
      <c r="D18" s="66"/>
      <c r="E18" s="66"/>
      <c r="F18" s="66"/>
      <c r="G18" s="66"/>
      <c r="H18" s="66"/>
      <c r="I18" s="66"/>
      <c r="J18" s="66"/>
      <c r="K18" s="66"/>
      <c r="L18" s="66"/>
    </row>
    <row r="19" spans="1:19" x14ac:dyDescent="0.25">
      <c r="A19" s="67"/>
      <c r="B19" s="67">
        <v>5</v>
      </c>
      <c r="C19" s="66" t="s">
        <v>104</v>
      </c>
      <c r="D19" s="66"/>
      <c r="E19" s="66"/>
      <c r="F19" s="66"/>
      <c r="G19" s="66"/>
      <c r="H19" s="66"/>
      <c r="I19" s="66"/>
      <c r="J19" s="66"/>
      <c r="K19" s="66"/>
      <c r="L19" s="66"/>
    </row>
    <row r="20" spans="1:19" x14ac:dyDescent="0.25">
      <c r="A20" s="67"/>
      <c r="B20" s="67">
        <v>6</v>
      </c>
      <c r="C20" s="66" t="s">
        <v>59</v>
      </c>
      <c r="D20" s="66"/>
      <c r="E20" s="66"/>
      <c r="F20" s="66"/>
      <c r="G20" s="66"/>
      <c r="H20" s="66"/>
      <c r="I20" s="66"/>
      <c r="J20" s="66"/>
      <c r="K20" s="66"/>
      <c r="L20" s="66"/>
    </row>
    <row r="21" spans="1:19" x14ac:dyDescent="0.25">
      <c r="A21" s="66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</row>
    <row r="22" spans="1:19" x14ac:dyDescent="0.25">
      <c r="A22" s="66"/>
      <c r="B22" s="66" t="s">
        <v>92</v>
      </c>
      <c r="C22" s="66"/>
      <c r="D22" s="66"/>
      <c r="E22" s="66"/>
      <c r="F22" s="66"/>
      <c r="G22" s="66"/>
      <c r="H22" s="66"/>
      <c r="I22" s="66"/>
      <c r="J22" s="66"/>
      <c r="K22" s="66"/>
      <c r="L22" s="66"/>
    </row>
    <row r="23" spans="1:19" x14ac:dyDescent="0.25">
      <c r="A23" s="67"/>
      <c r="B23" s="67">
        <v>1</v>
      </c>
      <c r="C23" s="66" t="s">
        <v>60</v>
      </c>
      <c r="D23" s="66"/>
      <c r="E23" s="66"/>
      <c r="F23" s="66"/>
      <c r="G23" s="66"/>
      <c r="H23" s="66"/>
      <c r="I23" s="66"/>
      <c r="J23" s="66"/>
      <c r="K23" s="66"/>
      <c r="L23" s="66"/>
    </row>
    <row r="24" spans="1:19" x14ac:dyDescent="0.25">
      <c r="A24" s="67"/>
      <c r="B24" s="67">
        <v>2</v>
      </c>
      <c r="C24" s="66" t="s">
        <v>61</v>
      </c>
      <c r="D24" s="66"/>
      <c r="E24" s="66"/>
      <c r="F24" s="66"/>
      <c r="G24" s="66"/>
      <c r="H24" s="66"/>
      <c r="I24" s="66"/>
      <c r="J24" s="66"/>
      <c r="K24" s="66"/>
      <c r="L24" s="66"/>
    </row>
    <row r="25" spans="1:19" x14ac:dyDescent="0.25">
      <c r="A25" s="67"/>
      <c r="B25" s="67">
        <v>3</v>
      </c>
      <c r="C25" s="66" t="s">
        <v>105</v>
      </c>
      <c r="D25" s="66"/>
      <c r="E25" s="66"/>
      <c r="F25" s="66"/>
      <c r="G25" s="66"/>
      <c r="H25" s="66"/>
      <c r="I25" s="66"/>
      <c r="J25" s="66"/>
      <c r="K25" s="66"/>
      <c r="L25" s="66"/>
    </row>
    <row r="26" spans="1:19" x14ac:dyDescent="0.25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</row>
    <row r="27" spans="1:19" ht="25.15" customHeight="1" x14ac:dyDescent="0.25">
      <c r="A27" s="66"/>
      <c r="B27" s="68" t="s">
        <v>122</v>
      </c>
      <c r="C27" s="69"/>
      <c r="D27" s="69"/>
      <c r="E27" s="69"/>
      <c r="F27" s="69"/>
      <c r="G27" s="69"/>
      <c r="H27" s="69"/>
      <c r="I27" s="70"/>
      <c r="J27" s="70"/>
      <c r="K27" s="71"/>
      <c r="L27" s="66"/>
      <c r="Q27" s="19"/>
    </row>
    <row r="28" spans="1:19" ht="45" x14ac:dyDescent="0.25">
      <c r="A28" s="66"/>
      <c r="B28" s="97" t="s">
        <v>42</v>
      </c>
      <c r="C28" s="97" t="s">
        <v>43</v>
      </c>
      <c r="D28" s="97" t="s">
        <v>44</v>
      </c>
      <c r="E28" s="97" t="s">
        <v>45</v>
      </c>
      <c r="F28" s="97" t="s">
        <v>46</v>
      </c>
      <c r="G28" s="97" t="s">
        <v>47</v>
      </c>
      <c r="H28" s="95" t="s">
        <v>132</v>
      </c>
      <c r="I28" s="98" t="s">
        <v>41</v>
      </c>
      <c r="J28" s="98" t="s">
        <v>117</v>
      </c>
      <c r="K28" s="99" t="s">
        <v>67</v>
      </c>
      <c r="L28" s="96" t="s">
        <v>38</v>
      </c>
      <c r="R28" s="19"/>
      <c r="S28" s="19"/>
    </row>
    <row r="29" spans="1:19" ht="21.6" customHeight="1" x14ac:dyDescent="0.25">
      <c r="B29" s="2"/>
      <c r="C29" s="2"/>
      <c r="D29" s="2"/>
      <c r="E29" s="2"/>
      <c r="F29" s="2"/>
      <c r="G29" s="2"/>
      <c r="H29" s="1">
        <f>SUM(B29:G29)</f>
        <v>0</v>
      </c>
      <c r="I29" s="29" t="str">
        <f>IF(H29 &gt;= 190, IF(H29&lt;=340,VLOOKUP(H29,Sheet1!$A:$E,2,FALSE),_xlfn.CONCAT("&gt; ",ROUND(Sheet1!B17,2))), "&lt; 0")</f>
        <v>&lt; 0</v>
      </c>
      <c r="J29" s="29">
        <f>IF(H29 &gt;= 190, IF(H29 &lt;= 340, VLOOKUP(H29,Sheet1!$A:$J,9,FALSE), ROUND(Sheet1!I17,2)),ROUND(Sheet1!I2,2))</f>
        <v>-0.13</v>
      </c>
      <c r="K29" s="29">
        <f>IF(H29&gt;=190, IF(H29&lt;=340, VLOOKUP(H29,Sheet1!$A:$J,10,FALSE), ROUND(Sheet1!J17,2)), ROUND(Sheet1!J2,2))</f>
        <v>0.13</v>
      </c>
      <c r="L29" s="110" t="str">
        <f>IF(H29 &gt;= 190, IF(H29 &gt; 340, "Estimated rainfall is beyond the range of observed values - Prop. yield loss and range of yield losses are approximate",""), "Estimated rainfall is beyond the range of observed values - Prop. yield loss and range of yield losses are approximate")</f>
        <v>Estimated rainfall is beyond the range of observed values - Prop. yield loss and range of yield losses are approximate</v>
      </c>
      <c r="M29" s="110"/>
      <c r="N29" s="110"/>
      <c r="O29" s="110"/>
      <c r="Q29" s="19"/>
      <c r="R29" s="12"/>
      <c r="S29" s="12"/>
    </row>
    <row r="30" spans="1:19" ht="27.6" customHeight="1" x14ac:dyDescent="0.25">
      <c r="B30" s="33" t="s">
        <v>123</v>
      </c>
      <c r="C30" s="32"/>
      <c r="D30" s="32"/>
      <c r="E30" s="32"/>
      <c r="F30" s="32"/>
      <c r="G30" s="32"/>
      <c r="H30" s="32"/>
      <c r="I30" s="34" t="s">
        <v>125</v>
      </c>
      <c r="J30" s="35" t="s">
        <v>69</v>
      </c>
      <c r="K30" s="11"/>
      <c r="L30" s="110"/>
      <c r="M30" s="110"/>
      <c r="N30" s="110"/>
      <c r="O30" s="110"/>
      <c r="Q30" s="19"/>
      <c r="R30" s="12"/>
      <c r="S30" s="12"/>
    </row>
    <row r="31" spans="1:19" ht="19.899999999999999" customHeight="1" x14ac:dyDescent="0.25">
      <c r="B31" s="7" t="s">
        <v>27</v>
      </c>
      <c r="C31" s="8"/>
      <c r="D31" s="8"/>
      <c r="E31" s="8"/>
      <c r="F31" s="8"/>
      <c r="G31" s="8"/>
      <c r="H31" s="8"/>
      <c r="I31" s="2"/>
      <c r="J31" s="1" t="s">
        <v>0</v>
      </c>
      <c r="K31" s="52"/>
      <c r="Q31" s="19"/>
      <c r="R31" s="12"/>
      <c r="S31" s="12"/>
    </row>
    <row r="32" spans="1:19" x14ac:dyDescent="0.25">
      <c r="B32" s="7" t="s">
        <v>1</v>
      </c>
      <c r="C32" s="8"/>
      <c r="D32" s="8"/>
      <c r="E32" s="8"/>
      <c r="F32" s="8"/>
      <c r="G32" s="8"/>
      <c r="H32" s="8"/>
      <c r="I32" s="2"/>
      <c r="J32" s="10" t="s">
        <v>2</v>
      </c>
      <c r="K32" s="52"/>
    </row>
    <row r="33" spans="1:11" x14ac:dyDescent="0.25">
      <c r="B33" s="7" t="s">
        <v>19</v>
      </c>
      <c r="C33" s="8"/>
      <c r="D33" s="8"/>
      <c r="E33" s="8"/>
      <c r="F33" s="8"/>
      <c r="G33" s="8"/>
      <c r="H33" s="8"/>
      <c r="I33" s="28" t="str">
        <f>IF(H29&gt;=190,IF(H29&lt;=340, (I32)-(I32*I29), "Outside range"), "Outside range")</f>
        <v>Outside range</v>
      </c>
      <c r="J33" s="10" t="s">
        <v>2</v>
      </c>
      <c r="K33" s="52"/>
    </row>
    <row r="34" spans="1:11" x14ac:dyDescent="0.25">
      <c r="B34" s="7" t="s">
        <v>20</v>
      </c>
      <c r="C34" s="8"/>
      <c r="D34" s="8"/>
      <c r="E34" s="8"/>
      <c r="F34" s="8"/>
      <c r="G34" s="8"/>
      <c r="H34" s="8"/>
      <c r="I34" s="28" t="str">
        <f>IF(H29&gt;=190,IF(H29&lt;=340, I33*I31,"Outside range"),"Outside range")</f>
        <v>Outside range</v>
      </c>
      <c r="J34" s="10" t="s">
        <v>21</v>
      </c>
      <c r="K34" s="52"/>
    </row>
    <row r="35" spans="1:11" x14ac:dyDescent="0.25">
      <c r="B35" s="7" t="s">
        <v>22</v>
      </c>
      <c r="C35" s="8"/>
      <c r="D35" s="8"/>
      <c r="E35" s="8"/>
      <c r="F35" s="8"/>
      <c r="G35" s="8"/>
      <c r="H35" s="8"/>
      <c r="I35" s="28" t="str">
        <f>IF(H29&gt;=190,IF(H29&lt;=340,(I31*I32)-(I34),"Outside range"),"Outside range")</f>
        <v>Outside range</v>
      </c>
      <c r="J35" s="10" t="s">
        <v>21</v>
      </c>
      <c r="K35" s="52"/>
    </row>
    <row r="37" spans="1:11" x14ac:dyDescent="0.25">
      <c r="B37" t="s">
        <v>106</v>
      </c>
    </row>
    <row r="38" spans="1:11" x14ac:dyDescent="0.25">
      <c r="A38" s="12"/>
      <c r="B38" s="12">
        <v>1</v>
      </c>
      <c r="C38" t="s">
        <v>119</v>
      </c>
    </row>
    <row r="39" spans="1:11" x14ac:dyDescent="0.25">
      <c r="A39" s="12"/>
      <c r="B39" s="12">
        <v>2</v>
      </c>
      <c r="C39" t="s">
        <v>118</v>
      </c>
    </row>
    <row r="41" spans="1:11" x14ac:dyDescent="0.25">
      <c r="B41" s="39" t="s">
        <v>91</v>
      </c>
      <c r="C41" s="8"/>
      <c r="D41" s="8"/>
      <c r="E41" s="8"/>
      <c r="F41" s="8"/>
      <c r="G41" s="8"/>
      <c r="H41" s="8"/>
      <c r="I41" s="9"/>
    </row>
    <row r="42" spans="1:11" ht="30" x14ac:dyDescent="0.25">
      <c r="B42" s="15" t="s">
        <v>71</v>
      </c>
      <c r="C42" s="48" t="s">
        <v>42</v>
      </c>
      <c r="D42" s="48" t="s">
        <v>43</v>
      </c>
      <c r="E42" s="48" t="s">
        <v>44</v>
      </c>
      <c r="F42" s="48" t="s">
        <v>45</v>
      </c>
      <c r="G42" s="48" t="s">
        <v>46</v>
      </c>
      <c r="H42" s="54" t="s">
        <v>47</v>
      </c>
      <c r="I42" s="6" t="s">
        <v>70</v>
      </c>
    </row>
    <row r="43" spans="1:11" x14ac:dyDescent="0.25">
      <c r="B43" s="16" t="s">
        <v>72</v>
      </c>
      <c r="C43" s="62"/>
      <c r="D43" s="62"/>
      <c r="E43" s="14"/>
      <c r="F43" s="62"/>
      <c r="G43" s="62"/>
      <c r="H43" s="62"/>
      <c r="I43" s="92">
        <f>SUM(C43:H43)</f>
        <v>0</v>
      </c>
    </row>
    <row r="44" spans="1:11" x14ac:dyDescent="0.25">
      <c r="B44" s="17" t="s">
        <v>73</v>
      </c>
      <c r="C44" s="62"/>
      <c r="D44" s="62"/>
      <c r="E44" s="2"/>
      <c r="F44" s="62"/>
      <c r="G44" s="62"/>
      <c r="H44" s="62"/>
      <c r="I44" s="75">
        <f>SUM(C44:H44)</f>
        <v>0</v>
      </c>
    </row>
    <row r="45" spans="1:11" x14ac:dyDescent="0.25">
      <c r="B45" s="17" t="s">
        <v>74</v>
      </c>
      <c r="C45" s="62"/>
      <c r="D45" s="62"/>
      <c r="E45" s="2"/>
      <c r="F45" s="62"/>
      <c r="G45" s="62"/>
      <c r="H45" s="62"/>
      <c r="I45" s="93">
        <f>SUM(C45:H45)</f>
        <v>0</v>
      </c>
    </row>
    <row r="46" spans="1:11" x14ac:dyDescent="0.25">
      <c r="B46" s="18" t="s">
        <v>75</v>
      </c>
      <c r="C46" s="62"/>
      <c r="D46" s="62"/>
      <c r="E46" s="2"/>
      <c r="F46" s="62"/>
      <c r="G46" s="62"/>
      <c r="H46" s="62"/>
      <c r="I46" s="93">
        <f>SUM(C46:H46)</f>
        <v>0</v>
      </c>
    </row>
    <row r="47" spans="1:11" x14ac:dyDescent="0.25">
      <c r="B47" s="7" t="s">
        <v>76</v>
      </c>
      <c r="C47" s="10"/>
      <c r="D47" s="10"/>
      <c r="E47" s="40"/>
      <c r="H47" s="7" t="s">
        <v>77</v>
      </c>
      <c r="I47" s="1">
        <f>SUM(I43:I45)</f>
        <v>0</v>
      </c>
    </row>
    <row r="48" spans="1:11" x14ac:dyDescent="0.25">
      <c r="H48" s="7" t="s">
        <v>78</v>
      </c>
      <c r="I48" s="31">
        <f>I47*I31</f>
        <v>0</v>
      </c>
    </row>
    <row r="49" spans="8:9" x14ac:dyDescent="0.25">
      <c r="H49" s="7" t="s">
        <v>80</v>
      </c>
      <c r="I49" s="31">
        <f>$E$47*I32</f>
        <v>0</v>
      </c>
    </row>
    <row r="50" spans="8:9" x14ac:dyDescent="0.25">
      <c r="H50" s="7" t="s">
        <v>81</v>
      </c>
      <c r="I50" s="31">
        <f>I49-I47</f>
        <v>0</v>
      </c>
    </row>
    <row r="51" spans="8:9" x14ac:dyDescent="0.25">
      <c r="H51" s="7" t="s">
        <v>82</v>
      </c>
      <c r="I51" s="31" t="e">
        <f>$E$47*I33</f>
        <v>#VALUE!</v>
      </c>
    </row>
    <row r="52" spans="8:9" x14ac:dyDescent="0.25">
      <c r="H52" s="7" t="s">
        <v>83</v>
      </c>
      <c r="I52" s="31" t="e">
        <f>I51-I47</f>
        <v>#VALUE!</v>
      </c>
    </row>
  </sheetData>
  <sheetProtection password="D353" sheet="1" objects="1" scenarios="1"/>
  <protectedRanges>
    <protectedRange sqref="E47 E43:E46" name="Inputs"/>
    <protectedRange sqref="I31:I32" name="Yields"/>
    <protectedRange sqref="C43:D46" name="inputs_1"/>
    <protectedRange sqref="F43:H46" name="inputs_2"/>
    <protectedRange sqref="B29:G29" name="Rainfall_2_1"/>
  </protectedRanges>
  <mergeCells count="1">
    <mergeCell ref="L29:O3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6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8" sqref="A18"/>
    </sheetView>
  </sheetViews>
  <sheetFormatPr defaultRowHeight="15" x14ac:dyDescent="0.25"/>
  <cols>
    <col min="4" max="4" width="8.7109375" customWidth="1"/>
    <col min="5" max="10" width="9.140625" customWidth="1"/>
    <col min="11" max="12" width="12.140625" customWidth="1"/>
    <col min="14" max="14" width="10.7109375" customWidth="1"/>
    <col min="15" max="15" width="15.140625" customWidth="1"/>
    <col min="16" max="16" width="8" customWidth="1"/>
    <col min="17" max="17" width="15.140625" customWidth="1"/>
    <col min="18" max="18" width="23.5703125" customWidth="1"/>
    <col min="20" max="20" width="15.7109375" customWidth="1"/>
  </cols>
  <sheetData>
    <row r="1" spans="1:26" ht="46.9" customHeight="1" x14ac:dyDescent="0.25">
      <c r="A1" s="19" t="s">
        <v>28</v>
      </c>
      <c r="B1" s="27" t="s">
        <v>17</v>
      </c>
      <c r="C1" s="27" t="s">
        <v>24</v>
      </c>
      <c r="D1" s="19" t="s">
        <v>23</v>
      </c>
      <c r="E1" s="19" t="s">
        <v>5</v>
      </c>
      <c r="F1" s="19" t="s">
        <v>35</v>
      </c>
      <c r="G1" s="19" t="s">
        <v>33</v>
      </c>
      <c r="H1" s="19" t="s">
        <v>34</v>
      </c>
      <c r="I1" s="19" t="s">
        <v>36</v>
      </c>
      <c r="J1" s="19" t="s">
        <v>37</v>
      </c>
      <c r="N1" s="19" t="s">
        <v>32</v>
      </c>
      <c r="O1" t="s">
        <v>30</v>
      </c>
      <c r="P1" s="23" t="s">
        <v>31</v>
      </c>
      <c r="R1" s="21" t="s">
        <v>6</v>
      </c>
      <c r="V1" s="22"/>
      <c r="W1" s="22"/>
    </row>
    <row r="2" spans="1:26" ht="19.149999999999999" customHeight="1" x14ac:dyDescent="0.25">
      <c r="A2">
        <v>190</v>
      </c>
      <c r="B2" s="12">
        <v>0</v>
      </c>
      <c r="C2">
        <f>(E2)/D2</f>
        <v>6.5751467268765143E-2</v>
      </c>
      <c r="D2" s="26">
        <v>2.535736213676909</v>
      </c>
      <c r="E2" s="26">
        <v>0.16672837665579973</v>
      </c>
      <c r="F2" s="26">
        <f>E2*_xlfn.T.INV.2T(0.05,100)</f>
        <v>0.33078435061477435</v>
      </c>
      <c r="G2" s="26">
        <f>D2+F2</f>
        <v>2.8665205642916836</v>
      </c>
      <c r="H2" s="26">
        <f>D2-F2</f>
        <v>2.2049518630621345</v>
      </c>
      <c r="I2" s="26">
        <f>1-(G2/$D$2)</f>
        <v>-0.13044903836236399</v>
      </c>
      <c r="J2" s="26">
        <f>1-(H2/$D$2)</f>
        <v>0.13044903836236388</v>
      </c>
      <c r="K2" s="20" t="s">
        <v>14</v>
      </c>
      <c r="L2" s="25" t="s">
        <v>13</v>
      </c>
      <c r="M2">
        <v>2018</v>
      </c>
      <c r="N2">
        <v>190</v>
      </c>
      <c r="O2">
        <v>190</v>
      </c>
      <c r="P2" s="24">
        <v>0</v>
      </c>
      <c r="R2" s="23" t="s">
        <v>7</v>
      </c>
      <c r="S2" s="23" t="s">
        <v>8</v>
      </c>
      <c r="T2" s="23" t="s">
        <v>9</v>
      </c>
      <c r="U2" s="23" t="s">
        <v>10</v>
      </c>
      <c r="V2" s="23" t="s">
        <v>4</v>
      </c>
      <c r="W2" s="23" t="s">
        <v>11</v>
      </c>
      <c r="X2" s="23" t="s">
        <v>3</v>
      </c>
      <c r="Y2" s="27" t="s">
        <v>17</v>
      </c>
      <c r="Z2" s="27" t="s">
        <v>18</v>
      </c>
    </row>
    <row r="3" spans="1:26" ht="14.45" customHeight="1" x14ac:dyDescent="0.25">
      <c r="A3">
        <v>200</v>
      </c>
      <c r="B3">
        <f>(1)-(D3/$D$2)</f>
        <v>1.2153389457495001E-2</v>
      </c>
      <c r="C3">
        <f t="shared" ref="C3:C17" si="0">(E3)/D3</f>
        <v>5.4547490427097015E-2</v>
      </c>
      <c r="D3" s="26">
        <v>2.5049184239106199</v>
      </c>
      <c r="E3" s="26">
        <v>0.13663701374892348</v>
      </c>
      <c r="F3" s="26">
        <f t="shared" ref="F3:F17" si="1">E3*_xlfn.T.INV.2T(0.05,100)</f>
        <v>0.27108394365397565</v>
      </c>
      <c r="G3" s="26">
        <f t="shared" ref="G3:G17" si="2">D3+F3</f>
        <v>2.7760023675645957</v>
      </c>
      <c r="H3" s="26">
        <f t="shared" ref="H3:H17" si="3">D3-F3</f>
        <v>2.2338344802566441</v>
      </c>
      <c r="I3" s="26">
        <f t="shared" ref="I3:I17" si="4">1-(G3/$D$2)</f>
        <v>-9.4752030038365964E-2</v>
      </c>
      <c r="J3" s="26">
        <f t="shared" ref="J3:J17" si="5">1-(H3/$D$2)</f>
        <v>0.11905880895335585</v>
      </c>
      <c r="K3" s="20" t="s">
        <v>14</v>
      </c>
      <c r="L3" s="25" t="s">
        <v>13</v>
      </c>
      <c r="M3">
        <v>2018</v>
      </c>
      <c r="N3">
        <v>190</v>
      </c>
      <c r="O3">
        <v>200</v>
      </c>
      <c r="P3" s="24">
        <v>10</v>
      </c>
      <c r="R3" s="24">
        <v>2018</v>
      </c>
      <c r="S3" s="25" t="s">
        <v>12</v>
      </c>
      <c r="T3" s="25" t="s">
        <v>13</v>
      </c>
      <c r="U3" s="24">
        <v>0</v>
      </c>
      <c r="V3" s="26">
        <v>2.535736213676909</v>
      </c>
      <c r="W3" s="26">
        <v>0.16672837665579973</v>
      </c>
      <c r="X3" s="20" t="s">
        <v>14</v>
      </c>
      <c r="Y3" s="12">
        <v>0</v>
      </c>
      <c r="Z3">
        <f>W3/V3</f>
        <v>6.5751467268765143E-2</v>
      </c>
    </row>
    <row r="4" spans="1:26" ht="14.45" customHeight="1" x14ac:dyDescent="0.25">
      <c r="A4">
        <v>210</v>
      </c>
      <c r="B4">
        <f t="shared" ref="B4:B17" si="6">(1)-(D4/$D$2)</f>
        <v>2.4837817742891843E-2</v>
      </c>
      <c r="C4">
        <f t="shared" si="0"/>
        <v>5.0281908834903098E-2</v>
      </c>
      <c r="D4" s="26">
        <v>2.4727540597575515</v>
      </c>
      <c r="E4" s="26">
        <v>0.12433479420386573</v>
      </c>
      <c r="F4" s="26">
        <f t="shared" si="1"/>
        <v>0.24667669046195725</v>
      </c>
      <c r="G4" s="26">
        <f t="shared" si="2"/>
        <v>2.7194307502195088</v>
      </c>
      <c r="H4" s="26">
        <f t="shared" si="3"/>
        <v>2.2260773692955942</v>
      </c>
      <c r="I4" s="26">
        <f t="shared" si="4"/>
        <v>-7.2442289364253787E-2</v>
      </c>
      <c r="J4" s="26">
        <f t="shared" si="5"/>
        <v>0.12211792485003725</v>
      </c>
      <c r="K4" s="20" t="s">
        <v>14</v>
      </c>
      <c r="L4" s="25" t="s">
        <v>13</v>
      </c>
      <c r="M4">
        <v>2018</v>
      </c>
      <c r="N4">
        <v>190</v>
      </c>
      <c r="O4">
        <v>210</v>
      </c>
      <c r="P4" s="24">
        <v>20</v>
      </c>
      <c r="R4" s="24">
        <v>2018</v>
      </c>
      <c r="S4" s="25" t="s">
        <v>12</v>
      </c>
      <c r="T4" s="25" t="s">
        <v>13</v>
      </c>
      <c r="U4" s="24">
        <v>10</v>
      </c>
      <c r="V4" s="26">
        <v>2.5049184239106199</v>
      </c>
      <c r="W4" s="26">
        <v>0.13663701374892348</v>
      </c>
      <c r="X4" s="20" t="s">
        <v>14</v>
      </c>
      <c r="Y4">
        <f t="shared" ref="Y4:Y18" si="7">(1)-(V4/$V$3)</f>
        <v>1.2153389457495001E-2</v>
      </c>
      <c r="Z4">
        <f>W4/V4</f>
        <v>5.4547490427097015E-2</v>
      </c>
    </row>
    <row r="5" spans="1:26" ht="14.45" customHeight="1" x14ac:dyDescent="0.25">
      <c r="A5">
        <v>220</v>
      </c>
      <c r="B5">
        <f t="shared" si="6"/>
        <v>3.8508460994394755E-2</v>
      </c>
      <c r="C5">
        <f t="shared" si="0"/>
        <v>5.0446035686869922E-2</v>
      </c>
      <c r="D5" s="26">
        <v>2.4380889146004576</v>
      </c>
      <c r="E5" s="26">
        <v>0.12299192039369664</v>
      </c>
      <c r="F5" s="26">
        <f t="shared" si="1"/>
        <v>0.24401246706961058</v>
      </c>
      <c r="G5" s="26">
        <f t="shared" si="2"/>
        <v>2.6821013816700683</v>
      </c>
      <c r="H5" s="26">
        <f t="shared" si="3"/>
        <v>2.194076447530847</v>
      </c>
      <c r="I5" s="26">
        <f t="shared" si="4"/>
        <v>-5.7720975550893172E-2</v>
      </c>
      <c r="J5" s="26">
        <f t="shared" si="5"/>
        <v>0.13473789753968257</v>
      </c>
      <c r="K5" s="20" t="s">
        <v>14</v>
      </c>
      <c r="L5" s="25" t="s">
        <v>13</v>
      </c>
      <c r="M5">
        <v>2018</v>
      </c>
      <c r="N5">
        <v>190</v>
      </c>
      <c r="O5">
        <v>220</v>
      </c>
      <c r="P5" s="24">
        <v>30</v>
      </c>
      <c r="R5" s="24">
        <v>2018</v>
      </c>
      <c r="S5" s="25" t="s">
        <v>12</v>
      </c>
      <c r="T5" s="25" t="s">
        <v>13</v>
      </c>
      <c r="U5" s="24">
        <v>20</v>
      </c>
      <c r="V5" s="26">
        <v>2.4727540597575515</v>
      </c>
      <c r="W5" s="26">
        <v>0.12433479420386573</v>
      </c>
      <c r="X5" s="20" t="s">
        <v>14</v>
      </c>
      <c r="Y5">
        <f t="shared" si="7"/>
        <v>2.4837817742891843E-2</v>
      </c>
      <c r="Z5">
        <f t="shared" ref="Z5:Z17" si="8">W5/V5</f>
        <v>5.0281908834903098E-2</v>
      </c>
    </row>
    <row r="6" spans="1:26" ht="14.45" customHeight="1" x14ac:dyDescent="0.25">
      <c r="A6">
        <v>230</v>
      </c>
      <c r="B6">
        <f t="shared" si="6"/>
        <v>5.3862132065491286E-2</v>
      </c>
      <c r="C6">
        <f t="shared" si="0"/>
        <v>4.9135665180651947E-2</v>
      </c>
      <c r="D6" s="26">
        <v>2.3991560548525945</v>
      </c>
      <c r="E6" s="26">
        <v>0.11788412862737092</v>
      </c>
      <c r="F6" s="26">
        <f t="shared" si="1"/>
        <v>0.23387875368267125</v>
      </c>
      <c r="G6" s="26">
        <f t="shared" si="2"/>
        <v>2.6330348085352657</v>
      </c>
      <c r="H6" s="26">
        <f t="shared" si="3"/>
        <v>2.1652773011699233</v>
      </c>
      <c r="I6" s="26">
        <f t="shared" si="4"/>
        <v>-3.8370945027152548E-2</v>
      </c>
      <c r="J6" s="26">
        <f t="shared" si="5"/>
        <v>0.14609520915813512</v>
      </c>
      <c r="K6" s="20" t="s">
        <v>14</v>
      </c>
      <c r="L6" s="25" t="s">
        <v>13</v>
      </c>
      <c r="M6">
        <v>2018</v>
      </c>
      <c r="N6">
        <v>190</v>
      </c>
      <c r="O6">
        <v>230</v>
      </c>
      <c r="P6" s="24">
        <v>40</v>
      </c>
      <c r="R6" s="24">
        <v>2018</v>
      </c>
      <c r="S6" s="25" t="s">
        <v>12</v>
      </c>
      <c r="T6" s="25" t="s">
        <v>13</v>
      </c>
      <c r="U6" s="24">
        <v>30</v>
      </c>
      <c r="V6" s="26">
        <v>2.4380889146004576</v>
      </c>
      <c r="W6" s="26">
        <v>0.12299192039369664</v>
      </c>
      <c r="X6" s="20" t="s">
        <v>14</v>
      </c>
      <c r="Y6">
        <f t="shared" si="7"/>
        <v>3.8508460994394755E-2</v>
      </c>
      <c r="Z6">
        <f t="shared" si="8"/>
        <v>5.0446035686869922E-2</v>
      </c>
    </row>
    <row r="7" spans="1:26" ht="14.45" customHeight="1" x14ac:dyDescent="0.25">
      <c r="A7">
        <v>240</v>
      </c>
      <c r="B7">
        <f t="shared" si="6"/>
        <v>7.1062229456142489E-2</v>
      </c>
      <c r="C7">
        <f t="shared" si="0"/>
        <v>4.6014081853012562E-2</v>
      </c>
      <c r="D7" s="26">
        <v>2.3555411450203505</v>
      </c>
      <c r="E7" s="26">
        <v>0.10838806305510534</v>
      </c>
      <c r="F7" s="26">
        <f t="shared" si="1"/>
        <v>0.21503883004926425</v>
      </c>
      <c r="G7" s="26">
        <f t="shared" si="2"/>
        <v>2.5705799750696148</v>
      </c>
      <c r="H7" s="26">
        <f t="shared" si="3"/>
        <v>2.1405023149710862</v>
      </c>
      <c r="I7" s="26">
        <f t="shared" si="4"/>
        <v>-1.3741082847959607E-2</v>
      </c>
      <c r="J7" s="26">
        <f t="shared" si="5"/>
        <v>0.15586554176024459</v>
      </c>
      <c r="K7" s="20" t="s">
        <v>14</v>
      </c>
      <c r="L7" s="25" t="s">
        <v>13</v>
      </c>
      <c r="M7">
        <v>2018</v>
      </c>
      <c r="N7">
        <v>190</v>
      </c>
      <c r="O7">
        <v>240</v>
      </c>
      <c r="P7" s="24">
        <v>50</v>
      </c>
      <c r="R7" s="24">
        <v>2018</v>
      </c>
      <c r="S7" s="25" t="s">
        <v>12</v>
      </c>
      <c r="T7" s="25" t="s">
        <v>13</v>
      </c>
      <c r="U7" s="24">
        <v>40</v>
      </c>
      <c r="V7" s="26">
        <v>2.3991560548525945</v>
      </c>
      <c r="W7" s="26">
        <v>0.11788412862737092</v>
      </c>
      <c r="X7" s="20" t="s">
        <v>14</v>
      </c>
      <c r="Y7">
        <f t="shared" si="7"/>
        <v>5.3862132065491286E-2</v>
      </c>
      <c r="Z7">
        <f t="shared" si="8"/>
        <v>4.9135665180651947E-2</v>
      </c>
    </row>
    <row r="8" spans="1:26" ht="14.45" customHeight="1" x14ac:dyDescent="0.25">
      <c r="A8">
        <v>250</v>
      </c>
      <c r="B8">
        <f t="shared" si="6"/>
        <v>8.8835739696502825E-2</v>
      </c>
      <c r="C8">
        <f t="shared" si="0"/>
        <v>4.5994519686280586E-2</v>
      </c>
      <c r="D8" s="26">
        <v>2.3104722114597114</v>
      </c>
      <c r="E8" s="26">
        <v>0.10626905961458794</v>
      </c>
      <c r="F8" s="26">
        <f t="shared" si="1"/>
        <v>0.21083478757562427</v>
      </c>
      <c r="G8" s="26">
        <f t="shared" si="2"/>
        <v>2.5213069990353358</v>
      </c>
      <c r="H8" s="26">
        <f t="shared" si="3"/>
        <v>2.0996374238840869</v>
      </c>
      <c r="I8" s="26">
        <f t="shared" si="4"/>
        <v>5.6903452984371494E-3</v>
      </c>
      <c r="J8" s="26">
        <f t="shared" si="5"/>
        <v>0.17198113409456861</v>
      </c>
      <c r="K8" s="20" t="s">
        <v>14</v>
      </c>
      <c r="L8" s="25" t="s">
        <v>13</v>
      </c>
      <c r="M8">
        <v>2018</v>
      </c>
      <c r="N8">
        <v>190</v>
      </c>
      <c r="O8">
        <v>250</v>
      </c>
      <c r="P8" s="24">
        <v>60</v>
      </c>
      <c r="R8" s="24">
        <v>2018</v>
      </c>
      <c r="S8" s="25" t="s">
        <v>12</v>
      </c>
      <c r="T8" s="25" t="s">
        <v>13</v>
      </c>
      <c r="U8" s="24">
        <v>50</v>
      </c>
      <c r="V8" s="26">
        <v>2.3555411450203505</v>
      </c>
      <c r="W8" s="26">
        <v>0.10838806305510534</v>
      </c>
      <c r="X8" s="20" t="s">
        <v>14</v>
      </c>
      <c r="Y8">
        <f t="shared" si="7"/>
        <v>7.1062229456142489E-2</v>
      </c>
      <c r="Z8">
        <f t="shared" si="8"/>
        <v>4.6014081853012562E-2</v>
      </c>
    </row>
    <row r="9" spans="1:26" ht="14.45" customHeight="1" x14ac:dyDescent="0.25">
      <c r="A9">
        <v>260</v>
      </c>
      <c r="B9">
        <f t="shared" si="6"/>
        <v>0.10703394124783494</v>
      </c>
      <c r="C9">
        <f t="shared" si="0"/>
        <v>4.5241767348172195E-2</v>
      </c>
      <c r="D9" s="26">
        <v>2.2643263727622074</v>
      </c>
      <c r="E9" s="26">
        <v>0.10244212695683841</v>
      </c>
      <c r="F9" s="26">
        <f t="shared" si="1"/>
        <v>0.20324226217934158</v>
      </c>
      <c r="G9" s="26">
        <f t="shared" si="2"/>
        <v>2.4675686349415491</v>
      </c>
      <c r="H9" s="26">
        <f t="shared" si="3"/>
        <v>2.0610841105828657</v>
      </c>
      <c r="I9" s="26">
        <f t="shared" si="4"/>
        <v>2.688275632445003E-2</v>
      </c>
      <c r="J9" s="26">
        <f t="shared" si="5"/>
        <v>0.18718512617121974</v>
      </c>
      <c r="K9" s="20" t="s">
        <v>14</v>
      </c>
      <c r="L9" s="25" t="s">
        <v>13</v>
      </c>
      <c r="M9">
        <v>2018</v>
      </c>
      <c r="N9">
        <v>190</v>
      </c>
      <c r="O9">
        <v>260</v>
      </c>
      <c r="P9" s="24">
        <v>70</v>
      </c>
      <c r="R9" s="24">
        <v>2018</v>
      </c>
      <c r="S9" s="25" t="s">
        <v>12</v>
      </c>
      <c r="T9" s="25" t="s">
        <v>13</v>
      </c>
      <c r="U9" s="24">
        <v>60</v>
      </c>
      <c r="V9" s="26">
        <v>2.3104722114597114</v>
      </c>
      <c r="W9" s="26">
        <v>0.10626905961458794</v>
      </c>
      <c r="X9" s="20" t="s">
        <v>14</v>
      </c>
      <c r="Y9">
        <f t="shared" si="7"/>
        <v>8.8835739696502825E-2</v>
      </c>
      <c r="Z9">
        <f t="shared" si="8"/>
        <v>4.5994519686280586E-2</v>
      </c>
    </row>
    <row r="10" spans="1:26" ht="14.45" customHeight="1" x14ac:dyDescent="0.25">
      <c r="A10">
        <v>270</v>
      </c>
      <c r="B10">
        <f t="shared" si="6"/>
        <v>0.12843568931165972</v>
      </c>
      <c r="C10">
        <f t="shared" si="0"/>
        <v>4.7075102007461782E-2</v>
      </c>
      <c r="D10" s="26">
        <v>2.2100571851607773</v>
      </c>
      <c r="E10" s="26">
        <v>0.10403866743376744</v>
      </c>
      <c r="F10" s="26">
        <f t="shared" si="1"/>
        <v>0.20640975301373879</v>
      </c>
      <c r="G10" s="26">
        <f t="shared" si="2"/>
        <v>2.4164669381745161</v>
      </c>
      <c r="H10" s="26">
        <f t="shared" si="3"/>
        <v>2.0036474321470386</v>
      </c>
      <c r="I10" s="26">
        <f t="shared" si="4"/>
        <v>4.7035363875427838E-2</v>
      </c>
      <c r="J10" s="26">
        <f t="shared" si="5"/>
        <v>0.20983601474789149</v>
      </c>
      <c r="K10" s="20" t="s">
        <v>14</v>
      </c>
      <c r="L10" s="25" t="s">
        <v>13</v>
      </c>
      <c r="M10">
        <v>2018</v>
      </c>
      <c r="N10">
        <v>190</v>
      </c>
      <c r="O10">
        <v>270</v>
      </c>
      <c r="P10" s="24">
        <v>80</v>
      </c>
      <c r="R10" s="24">
        <v>2018</v>
      </c>
      <c r="S10" s="25" t="s">
        <v>12</v>
      </c>
      <c r="T10" s="25" t="s">
        <v>13</v>
      </c>
      <c r="U10" s="24">
        <v>70</v>
      </c>
      <c r="V10" s="26">
        <v>2.2643263727622074</v>
      </c>
      <c r="W10" s="26">
        <v>0.10244212695683841</v>
      </c>
      <c r="X10" s="20" t="s">
        <v>14</v>
      </c>
      <c r="Y10">
        <f t="shared" si="7"/>
        <v>0.10703394124783494</v>
      </c>
      <c r="Z10">
        <f t="shared" si="8"/>
        <v>4.5241767348172195E-2</v>
      </c>
    </row>
    <row r="11" spans="1:26" ht="14.45" customHeight="1" x14ac:dyDescent="0.25">
      <c r="A11">
        <v>280</v>
      </c>
      <c r="B11">
        <f t="shared" si="6"/>
        <v>0.15910730865300149</v>
      </c>
      <c r="C11">
        <f t="shared" si="0"/>
        <v>4.7973120075219484E-2</v>
      </c>
      <c r="D11" s="26">
        <v>2.1322820492648238</v>
      </c>
      <c r="E11" s="26">
        <v>0.10229222278361647</v>
      </c>
      <c r="F11" s="26">
        <f t="shared" si="1"/>
        <v>0.20294485656916142</v>
      </c>
      <c r="G11" s="26">
        <f t="shared" si="2"/>
        <v>2.3352269058339852</v>
      </c>
      <c r="H11" s="26">
        <f t="shared" si="3"/>
        <v>1.9293371926956624</v>
      </c>
      <c r="I11" s="26">
        <f t="shared" si="4"/>
        <v>7.907340943487895E-2</v>
      </c>
      <c r="J11" s="26">
        <f t="shared" si="5"/>
        <v>0.23914120787112403</v>
      </c>
      <c r="K11" s="20" t="s">
        <v>14</v>
      </c>
      <c r="L11" s="25" t="s">
        <v>13</v>
      </c>
      <c r="M11">
        <v>2018</v>
      </c>
      <c r="N11">
        <v>190</v>
      </c>
      <c r="O11">
        <v>280</v>
      </c>
      <c r="P11" s="24">
        <v>90</v>
      </c>
      <c r="R11" s="24">
        <v>2018</v>
      </c>
      <c r="S11" s="25" t="s">
        <v>12</v>
      </c>
      <c r="T11" s="25" t="s">
        <v>13</v>
      </c>
      <c r="U11" s="24">
        <v>80</v>
      </c>
      <c r="V11" s="26">
        <v>2.2100571851607773</v>
      </c>
      <c r="W11" s="26">
        <v>0.10403866743376744</v>
      </c>
      <c r="X11" s="20" t="s">
        <v>14</v>
      </c>
      <c r="Y11">
        <f t="shared" si="7"/>
        <v>0.12843568931165972</v>
      </c>
      <c r="Z11">
        <f t="shared" si="8"/>
        <v>4.7075102007461782E-2</v>
      </c>
    </row>
    <row r="12" spans="1:26" ht="14.45" customHeight="1" x14ac:dyDescent="0.25">
      <c r="A12">
        <v>290</v>
      </c>
      <c r="B12">
        <f t="shared" si="6"/>
        <v>0.20054158137421652</v>
      </c>
      <c r="C12">
        <f t="shared" si="0"/>
        <v>5.2072568171606701E-2</v>
      </c>
      <c r="D12" s="26">
        <v>2.0272156634382736</v>
      </c>
      <c r="E12" s="26">
        <v>0.10556232583293841</v>
      </c>
      <c r="F12" s="26">
        <f t="shared" si="1"/>
        <v>0.20943264788165317</v>
      </c>
      <c r="G12" s="26">
        <f t="shared" si="2"/>
        <v>2.2366483113199269</v>
      </c>
      <c r="H12" s="26">
        <f t="shared" si="3"/>
        <v>1.8177830155566204</v>
      </c>
      <c r="I12" s="26">
        <f t="shared" si="4"/>
        <v>0.11794913869345025</v>
      </c>
      <c r="J12" s="26">
        <f t="shared" si="5"/>
        <v>0.28313402405498267</v>
      </c>
      <c r="K12" s="20" t="s">
        <v>14</v>
      </c>
      <c r="L12" s="25" t="s">
        <v>13</v>
      </c>
      <c r="M12">
        <v>2018</v>
      </c>
      <c r="N12">
        <v>190</v>
      </c>
      <c r="O12">
        <v>290</v>
      </c>
      <c r="P12" s="24">
        <v>100</v>
      </c>
      <c r="R12" s="24">
        <v>2018</v>
      </c>
      <c r="S12" s="25" t="s">
        <v>12</v>
      </c>
      <c r="T12" s="25" t="s">
        <v>13</v>
      </c>
      <c r="U12" s="24">
        <v>90</v>
      </c>
      <c r="V12" s="26">
        <v>2.1322820492648238</v>
      </c>
      <c r="W12" s="26">
        <v>0.10229222278361647</v>
      </c>
      <c r="X12" s="20" t="s">
        <v>14</v>
      </c>
      <c r="Y12">
        <f t="shared" si="7"/>
        <v>0.15910730865300149</v>
      </c>
      <c r="Z12">
        <f t="shared" si="8"/>
        <v>4.7973120075219484E-2</v>
      </c>
    </row>
    <row r="13" spans="1:26" ht="14.45" customHeight="1" x14ac:dyDescent="0.25">
      <c r="A13">
        <v>300</v>
      </c>
      <c r="B13">
        <f t="shared" si="6"/>
        <v>0.25769390455153562</v>
      </c>
      <c r="C13">
        <f t="shared" si="0"/>
        <v>5.6342433081293768E-2</v>
      </c>
      <c r="D13" s="26">
        <v>1.8822924478617793</v>
      </c>
      <c r="E13" s="26">
        <v>0.10605293628307694</v>
      </c>
      <c r="F13" s="26">
        <f t="shared" si="1"/>
        <v>0.21040600504141804</v>
      </c>
      <c r="G13" s="26">
        <f t="shared" si="2"/>
        <v>2.0926984529031971</v>
      </c>
      <c r="H13" s="26">
        <f t="shared" si="3"/>
        <v>1.6718864428203613</v>
      </c>
      <c r="I13" s="26">
        <f t="shared" si="4"/>
        <v>0.17471760602862207</v>
      </c>
      <c r="J13" s="26">
        <f t="shared" si="5"/>
        <v>0.34067020307444928</v>
      </c>
      <c r="K13" s="20" t="s">
        <v>14</v>
      </c>
      <c r="L13" s="25" t="s">
        <v>13</v>
      </c>
      <c r="M13">
        <v>2018</v>
      </c>
      <c r="N13">
        <v>190</v>
      </c>
      <c r="O13">
        <v>300</v>
      </c>
      <c r="P13" s="24">
        <v>110</v>
      </c>
      <c r="R13" s="24">
        <v>2018</v>
      </c>
      <c r="S13" s="25" t="s">
        <v>12</v>
      </c>
      <c r="T13" s="25" t="s">
        <v>13</v>
      </c>
      <c r="U13" s="24">
        <v>100</v>
      </c>
      <c r="V13" s="26">
        <v>2.0272156634382736</v>
      </c>
      <c r="W13" s="26">
        <v>0.10556232583293841</v>
      </c>
      <c r="X13" s="20" t="s">
        <v>14</v>
      </c>
      <c r="Y13">
        <f t="shared" si="7"/>
        <v>0.20054158137421652</v>
      </c>
      <c r="Z13">
        <f t="shared" si="8"/>
        <v>5.2072568171606701E-2</v>
      </c>
    </row>
    <row r="14" spans="1:26" ht="14.45" customHeight="1" x14ac:dyDescent="0.25">
      <c r="A14">
        <v>310</v>
      </c>
      <c r="B14">
        <f t="shared" si="6"/>
        <v>0.32251221062162361</v>
      </c>
      <c r="C14">
        <f t="shared" si="0"/>
        <v>6.5635617034133661E-2</v>
      </c>
      <c r="D14" s="26">
        <v>1.7179303218506634</v>
      </c>
      <c r="E14" s="26">
        <v>0.11275741669631612</v>
      </c>
      <c r="F14" s="26">
        <f t="shared" si="1"/>
        <v>0.2237075032277836</v>
      </c>
      <c r="G14" s="26">
        <f t="shared" si="2"/>
        <v>1.941637825078447</v>
      </c>
      <c r="H14" s="26">
        <f t="shared" si="3"/>
        <v>1.4942228186228799</v>
      </c>
      <c r="I14" s="26">
        <f t="shared" si="4"/>
        <v>0.23429029620435082</v>
      </c>
      <c r="J14" s="26">
        <f t="shared" si="5"/>
        <v>0.41073412503889639</v>
      </c>
      <c r="K14" s="20" t="s">
        <v>14</v>
      </c>
      <c r="L14" s="25" t="s">
        <v>13</v>
      </c>
      <c r="M14">
        <v>2018</v>
      </c>
      <c r="N14">
        <v>190</v>
      </c>
      <c r="O14">
        <v>310</v>
      </c>
      <c r="P14" s="24">
        <v>120</v>
      </c>
      <c r="R14" s="24">
        <v>2018</v>
      </c>
      <c r="S14" s="25" t="s">
        <v>12</v>
      </c>
      <c r="T14" s="25" t="s">
        <v>13</v>
      </c>
      <c r="U14" s="24">
        <v>110</v>
      </c>
      <c r="V14" s="26">
        <v>1.8822924478617793</v>
      </c>
      <c r="W14" s="26">
        <v>0.10605293628307694</v>
      </c>
      <c r="X14" s="20" t="s">
        <v>14</v>
      </c>
      <c r="Y14">
        <f t="shared" si="7"/>
        <v>0.25769390455153562</v>
      </c>
      <c r="Z14">
        <f t="shared" si="8"/>
        <v>5.6342433081293768E-2</v>
      </c>
    </row>
    <row r="15" spans="1:26" ht="14.45" customHeight="1" x14ac:dyDescent="0.25">
      <c r="A15">
        <v>320</v>
      </c>
      <c r="B15">
        <f t="shared" si="6"/>
        <v>0.39006009394436059</v>
      </c>
      <c r="C15">
        <f t="shared" si="0"/>
        <v>7.5022624199264407E-2</v>
      </c>
      <c r="D15" s="26">
        <v>1.5466467079519766</v>
      </c>
      <c r="E15" s="26">
        <v>0.11603349473971059</v>
      </c>
      <c r="F15" s="26">
        <f t="shared" si="1"/>
        <v>0.23020714875833861</v>
      </c>
      <c r="G15" s="26">
        <f t="shared" si="2"/>
        <v>1.7768538567103151</v>
      </c>
      <c r="H15" s="26">
        <f t="shared" si="3"/>
        <v>1.316439559193638</v>
      </c>
      <c r="I15" s="26">
        <f t="shared" si="4"/>
        <v>0.29927496120197261</v>
      </c>
      <c r="J15" s="26">
        <f t="shared" si="5"/>
        <v>0.48084522668674867</v>
      </c>
      <c r="K15" s="20" t="s">
        <v>14</v>
      </c>
      <c r="L15" s="25" t="s">
        <v>13</v>
      </c>
      <c r="M15">
        <v>2018</v>
      </c>
      <c r="N15">
        <v>190</v>
      </c>
      <c r="O15">
        <v>320</v>
      </c>
      <c r="P15" s="24">
        <v>130</v>
      </c>
      <c r="R15" s="24">
        <v>2018</v>
      </c>
      <c r="S15" s="25" t="s">
        <v>12</v>
      </c>
      <c r="T15" s="25" t="s">
        <v>13</v>
      </c>
      <c r="U15" s="24">
        <v>120</v>
      </c>
      <c r="V15" s="26">
        <v>1.7179303218506634</v>
      </c>
      <c r="W15" s="26">
        <v>0.11275741669631612</v>
      </c>
      <c r="X15" s="20" t="s">
        <v>14</v>
      </c>
      <c r="Y15">
        <f t="shared" si="7"/>
        <v>0.32251221062162361</v>
      </c>
      <c r="Z15">
        <f t="shared" si="8"/>
        <v>6.5635617034133661E-2</v>
      </c>
    </row>
    <row r="16" spans="1:26" ht="14.45" customHeight="1" x14ac:dyDescent="0.25">
      <c r="A16">
        <v>330</v>
      </c>
      <c r="B16">
        <f t="shared" si="6"/>
        <v>0.45819150475250725</v>
      </c>
      <c r="C16">
        <f t="shared" si="0"/>
        <v>9.3295851743444125E-2</v>
      </c>
      <c r="D16" s="26">
        <v>1.3738834222768608</v>
      </c>
      <c r="E16" s="26">
        <v>0.12817762407751765</v>
      </c>
      <c r="F16" s="26">
        <f t="shared" si="1"/>
        <v>0.25430075548181413</v>
      </c>
      <c r="G16" s="26">
        <f t="shared" si="2"/>
        <v>1.628184177758675</v>
      </c>
      <c r="H16" s="26">
        <f t="shared" si="3"/>
        <v>1.1195826667950466</v>
      </c>
      <c r="I16" s="26">
        <f t="shared" si="4"/>
        <v>0.35790475011683132</v>
      </c>
      <c r="J16" s="26">
        <f t="shared" si="5"/>
        <v>0.55847825938818318</v>
      </c>
      <c r="K16" s="20" t="s">
        <v>14</v>
      </c>
      <c r="L16" s="25" t="s">
        <v>13</v>
      </c>
      <c r="M16">
        <v>2018</v>
      </c>
      <c r="N16">
        <v>190</v>
      </c>
      <c r="O16">
        <v>330</v>
      </c>
      <c r="P16" s="24">
        <v>140</v>
      </c>
      <c r="R16" s="24">
        <v>2018</v>
      </c>
      <c r="S16" s="25" t="s">
        <v>12</v>
      </c>
      <c r="T16" s="25" t="s">
        <v>13</v>
      </c>
      <c r="U16" s="24">
        <v>130</v>
      </c>
      <c r="V16" s="26">
        <v>1.5466467079519766</v>
      </c>
      <c r="W16" s="26">
        <v>0.11603349473971059</v>
      </c>
      <c r="X16" s="20" t="s">
        <v>14</v>
      </c>
      <c r="Y16">
        <f t="shared" si="7"/>
        <v>0.39006009394436059</v>
      </c>
      <c r="Z16">
        <f t="shared" si="8"/>
        <v>7.5022624199264407E-2</v>
      </c>
    </row>
    <row r="17" spans="1:26" ht="14.45" customHeight="1" x14ac:dyDescent="0.25">
      <c r="A17">
        <v>340</v>
      </c>
      <c r="B17">
        <f t="shared" si="6"/>
        <v>0.52663712266817808</v>
      </c>
      <c r="C17">
        <f t="shared" si="0"/>
        <v>0.13414238333702208</v>
      </c>
      <c r="D17" s="26">
        <v>1.2003233902606014</v>
      </c>
      <c r="E17" s="26">
        <v>0.16101424034473155</v>
      </c>
      <c r="F17" s="26">
        <f t="shared" si="1"/>
        <v>0.31944766692065379</v>
      </c>
      <c r="G17" s="26">
        <f t="shared" si="2"/>
        <v>1.5197710571812553</v>
      </c>
      <c r="H17" s="26">
        <f t="shared" si="3"/>
        <v>0.88087572333994757</v>
      </c>
      <c r="I17" s="26">
        <f t="shared" si="4"/>
        <v>0.40065885048132333</v>
      </c>
      <c r="J17" s="26">
        <f t="shared" si="5"/>
        <v>0.65261539485503262</v>
      </c>
      <c r="K17" s="20" t="s">
        <v>14</v>
      </c>
      <c r="L17" s="25" t="s">
        <v>13</v>
      </c>
      <c r="M17">
        <v>2018</v>
      </c>
      <c r="N17">
        <v>190</v>
      </c>
      <c r="O17">
        <v>340</v>
      </c>
      <c r="P17" s="24">
        <v>150</v>
      </c>
      <c r="R17" s="24">
        <v>2018</v>
      </c>
      <c r="S17" s="25" t="s">
        <v>12</v>
      </c>
      <c r="T17" s="25" t="s">
        <v>13</v>
      </c>
      <c r="U17" s="24">
        <v>140</v>
      </c>
      <c r="V17" s="26">
        <v>1.3738834222768608</v>
      </c>
      <c r="W17" s="26">
        <v>0.12817762407751765</v>
      </c>
      <c r="X17" s="20" t="s">
        <v>14</v>
      </c>
      <c r="Y17">
        <f t="shared" si="7"/>
        <v>0.45819150475250725</v>
      </c>
      <c r="Z17">
        <f t="shared" si="8"/>
        <v>9.3295851743444125E-2</v>
      </c>
    </row>
    <row r="18" spans="1:26" ht="14.45" customHeight="1" x14ac:dyDescent="0.25">
      <c r="R18" s="24">
        <v>2018</v>
      </c>
      <c r="S18" s="25" t="s">
        <v>12</v>
      </c>
      <c r="T18" s="25" t="s">
        <v>13</v>
      </c>
      <c r="U18" s="24">
        <v>150</v>
      </c>
      <c r="V18" s="26">
        <v>1.2003233902606014</v>
      </c>
      <c r="W18" s="26">
        <v>0.16101424034473155</v>
      </c>
      <c r="X18" s="20" t="s">
        <v>14</v>
      </c>
      <c r="Y18">
        <f t="shared" si="7"/>
        <v>0.52663712266817808</v>
      </c>
      <c r="Z18">
        <f>W18/V18</f>
        <v>0.13414238333702208</v>
      </c>
    </row>
    <row r="19" spans="1:26" ht="14.45" customHeight="1" x14ac:dyDescent="0.25">
      <c r="C19" s="30"/>
      <c r="R19" s="24">
        <v>2018</v>
      </c>
      <c r="S19" s="25" t="s">
        <v>12</v>
      </c>
      <c r="T19" s="25" t="s">
        <v>15</v>
      </c>
      <c r="U19" s="24">
        <v>0</v>
      </c>
      <c r="V19" s="26">
        <v>2.9733964459955886</v>
      </c>
      <c r="W19" s="26">
        <v>0.16672837665579859</v>
      </c>
      <c r="X19" s="20" t="s">
        <v>14</v>
      </c>
      <c r="Y19" s="12">
        <v>0</v>
      </c>
      <c r="Z19">
        <f t="shared" ref="Z19:Z66" si="9">W19/V19</f>
        <v>5.6073375913373226E-2</v>
      </c>
    </row>
    <row r="20" spans="1:26" ht="14.45" customHeight="1" x14ac:dyDescent="0.25">
      <c r="R20" s="24">
        <v>2018</v>
      </c>
      <c r="S20" s="25" t="s">
        <v>12</v>
      </c>
      <c r="T20" s="25" t="s">
        <v>15</v>
      </c>
      <c r="U20" s="24">
        <v>10</v>
      </c>
      <c r="V20" s="26">
        <v>2.9206682653255394</v>
      </c>
      <c r="W20" s="26">
        <v>0.13663701374892237</v>
      </c>
      <c r="X20" s="20" t="s">
        <v>14</v>
      </c>
      <c r="Y20">
        <f>(1)-(V20/$V$19)</f>
        <v>1.7733316638977148E-2</v>
      </c>
      <c r="Z20">
        <f t="shared" si="9"/>
        <v>4.6782791243733642E-2</v>
      </c>
    </row>
    <row r="21" spans="1:26" ht="14.45" customHeight="1" x14ac:dyDescent="0.25">
      <c r="R21" s="24">
        <v>2018</v>
      </c>
      <c r="S21" s="25" t="s">
        <v>12</v>
      </c>
      <c r="T21" s="25" t="s">
        <v>15</v>
      </c>
      <c r="U21" s="24">
        <v>20</v>
      </c>
      <c r="V21" s="26">
        <v>2.869486301242655</v>
      </c>
      <c r="W21" s="26">
        <v>0.12433479420386515</v>
      </c>
      <c r="X21" s="20" t="s">
        <v>14</v>
      </c>
      <c r="Y21">
        <f t="shared" ref="Y21:Y34" si="10">(1)-(V21/$V$19)</f>
        <v>3.4946616315787327E-2</v>
      </c>
      <c r="Z21">
        <f t="shared" si="9"/>
        <v>4.3329983540963735E-2</v>
      </c>
    </row>
    <row r="22" spans="1:26" ht="14.45" customHeight="1" x14ac:dyDescent="0.25">
      <c r="R22" s="24">
        <v>2018</v>
      </c>
      <c r="S22" s="25" t="s">
        <v>12</v>
      </c>
      <c r="T22" s="25" t="s">
        <v>15</v>
      </c>
      <c r="U22" s="24">
        <v>30</v>
      </c>
      <c r="V22" s="26">
        <v>2.821175882250218</v>
      </c>
      <c r="W22" s="26">
        <v>0.12299192039369831</v>
      </c>
      <c r="X22" s="20" t="s">
        <v>14</v>
      </c>
      <c r="Y22">
        <f t="shared" si="10"/>
        <v>5.1194170205716483E-2</v>
      </c>
      <c r="Z22">
        <f t="shared" si="9"/>
        <v>4.3595977538131318E-2</v>
      </c>
    </row>
    <row r="23" spans="1:26" ht="14.45" customHeight="1" x14ac:dyDescent="0.25">
      <c r="R23" s="24">
        <v>2018</v>
      </c>
      <c r="S23" s="25" t="s">
        <v>12</v>
      </c>
      <c r="T23" s="25" t="s">
        <v>15</v>
      </c>
      <c r="U23" s="24">
        <v>40</v>
      </c>
      <c r="V23" s="26">
        <v>2.777765906303705</v>
      </c>
      <c r="W23" s="26">
        <v>0.11788412862737029</v>
      </c>
      <c r="X23" s="20" t="s">
        <v>14</v>
      </c>
      <c r="Y23">
        <f t="shared" si="10"/>
        <v>6.5793628009258032E-2</v>
      </c>
      <c r="Z23">
        <f t="shared" si="9"/>
        <v>4.2438467676434041E-2</v>
      </c>
    </row>
    <row r="24" spans="1:26" ht="14.45" customHeight="1" x14ac:dyDescent="0.25">
      <c r="R24" s="24">
        <v>2018</v>
      </c>
      <c r="S24" s="25" t="s">
        <v>12</v>
      </c>
      <c r="T24" s="25" t="s">
        <v>15</v>
      </c>
      <c r="U24" s="24">
        <v>50</v>
      </c>
      <c r="V24" s="26">
        <v>2.7414414822335988</v>
      </c>
      <c r="W24" s="26">
        <v>0.10838806305510479</v>
      </c>
      <c r="X24" s="20" t="s">
        <v>14</v>
      </c>
      <c r="Y24">
        <f t="shared" si="10"/>
        <v>7.8010103252250218E-2</v>
      </c>
      <c r="Z24">
        <f t="shared" si="9"/>
        <v>3.9536887348328602E-2</v>
      </c>
    </row>
    <row r="25" spans="1:26" ht="14.45" customHeight="1" x14ac:dyDescent="0.25">
      <c r="R25" s="24">
        <v>2018</v>
      </c>
      <c r="S25" s="25" t="s">
        <v>12</v>
      </c>
      <c r="T25" s="25" t="s">
        <v>15</v>
      </c>
      <c r="U25" s="24">
        <v>60</v>
      </c>
      <c r="V25" s="26">
        <v>2.7130922354293276</v>
      </c>
      <c r="W25" s="26">
        <v>0.10626905961669542</v>
      </c>
      <c r="X25" s="20" t="s">
        <v>14</v>
      </c>
      <c r="Y25">
        <f t="shared" si="10"/>
        <v>8.7544400921318322E-2</v>
      </c>
      <c r="Z25">
        <f t="shared" si="9"/>
        <v>3.9168981514511279E-2</v>
      </c>
    </row>
    <row r="26" spans="1:26" ht="14.45" customHeight="1" x14ac:dyDescent="0.25">
      <c r="R26" s="24">
        <v>2018</v>
      </c>
      <c r="S26" s="25" t="s">
        <v>12</v>
      </c>
      <c r="T26" s="25" t="s">
        <v>15</v>
      </c>
      <c r="U26" s="24">
        <v>70</v>
      </c>
      <c r="V26" s="26">
        <v>2.6954031708486941</v>
      </c>
      <c r="W26" s="26">
        <v>0.10244212695683803</v>
      </c>
      <c r="X26" s="20" t="s">
        <v>14</v>
      </c>
      <c r="Y26">
        <f t="shared" si="10"/>
        <v>9.34935116106973E-2</v>
      </c>
      <c r="Z26">
        <f t="shared" si="9"/>
        <v>3.8006235232179518E-2</v>
      </c>
    </row>
    <row r="27" spans="1:26" ht="14.45" customHeight="1" x14ac:dyDescent="0.25">
      <c r="R27" s="24">
        <v>2018</v>
      </c>
      <c r="S27" s="25" t="s">
        <v>12</v>
      </c>
      <c r="T27" s="25" t="s">
        <v>15</v>
      </c>
      <c r="U27" s="24">
        <v>80</v>
      </c>
      <c r="V27" s="26">
        <v>2.6800593484595359</v>
      </c>
      <c r="W27" s="26">
        <v>0.1040386674337672</v>
      </c>
      <c r="X27" s="20" t="s">
        <v>14</v>
      </c>
      <c r="Y27">
        <f t="shared" si="10"/>
        <v>9.865388045751633E-2</v>
      </c>
      <c r="Z27">
        <f t="shared" si="9"/>
        <v>3.8819538639533233E-2</v>
      </c>
    </row>
    <row r="28" spans="1:26" ht="14.45" customHeight="1" x14ac:dyDescent="0.25">
      <c r="R28" s="24">
        <v>2018</v>
      </c>
      <c r="S28" s="25" t="s">
        <v>12</v>
      </c>
      <c r="T28" s="25" t="s">
        <v>15</v>
      </c>
      <c r="U28" s="24">
        <v>90</v>
      </c>
      <c r="V28" s="26">
        <v>2.6570985586004192</v>
      </c>
      <c r="W28" s="26">
        <v>0.10229222278360543</v>
      </c>
      <c r="X28" s="20" t="s">
        <v>14</v>
      </c>
      <c r="Y28">
        <f t="shared" si="10"/>
        <v>0.10637595528882215</v>
      </c>
      <c r="Z28">
        <f t="shared" si="9"/>
        <v>3.8497714905045187E-2</v>
      </c>
    </row>
    <row r="29" spans="1:26" ht="14.45" customHeight="1" x14ac:dyDescent="0.25">
      <c r="R29" s="24">
        <v>2018</v>
      </c>
      <c r="S29" s="25" t="s">
        <v>12</v>
      </c>
      <c r="T29" s="25" t="s">
        <v>15</v>
      </c>
      <c r="U29" s="24">
        <v>100</v>
      </c>
      <c r="V29" s="26">
        <v>2.620762623001601</v>
      </c>
      <c r="W29" s="26">
        <v>0.10556232582098181</v>
      </c>
      <c r="X29" s="20" t="s">
        <v>14</v>
      </c>
      <c r="Y29">
        <f t="shared" si="10"/>
        <v>0.11859630204001081</v>
      </c>
      <c r="Z29">
        <f t="shared" si="9"/>
        <v>4.0279239674167668E-2</v>
      </c>
    </row>
    <row r="30" spans="1:26" ht="14.45" customHeight="1" x14ac:dyDescent="0.25">
      <c r="R30" s="24">
        <v>2018</v>
      </c>
      <c r="S30" s="25" t="s">
        <v>12</v>
      </c>
      <c r="T30" s="25" t="s">
        <v>15</v>
      </c>
      <c r="U30" s="24">
        <v>110</v>
      </c>
      <c r="V30" s="26">
        <v>2.5620156158480754</v>
      </c>
      <c r="W30" s="26">
        <v>0.10605293628307734</v>
      </c>
      <c r="X30" s="20" t="s">
        <v>14</v>
      </c>
      <c r="Y30">
        <f t="shared" si="10"/>
        <v>0.13835384470898215</v>
      </c>
      <c r="Z30">
        <f t="shared" si="9"/>
        <v>4.13943364072634E-2</v>
      </c>
    </row>
    <row r="31" spans="1:26" ht="14.45" customHeight="1" x14ac:dyDescent="0.25">
      <c r="R31" s="24">
        <v>2018</v>
      </c>
      <c r="S31" s="25" t="s">
        <v>12</v>
      </c>
      <c r="T31" s="25" t="s">
        <v>15</v>
      </c>
      <c r="U31" s="24">
        <v>120</v>
      </c>
      <c r="V31" s="26">
        <v>2.4918259947446324</v>
      </c>
      <c r="W31" s="26">
        <v>0.1127574166963157</v>
      </c>
      <c r="X31" s="20" t="s">
        <v>14</v>
      </c>
      <c r="Y31">
        <f t="shared" si="10"/>
        <v>0.16195971845581159</v>
      </c>
      <c r="Z31">
        <f t="shared" si="9"/>
        <v>4.5250919178998018E-2</v>
      </c>
    </row>
    <row r="32" spans="1:26" ht="14.45" customHeight="1" x14ac:dyDescent="0.25">
      <c r="R32" s="24">
        <v>2018</v>
      </c>
      <c r="S32" s="25" t="s">
        <v>12</v>
      </c>
      <c r="T32" s="25" t="s">
        <v>15</v>
      </c>
      <c r="U32" s="24">
        <v>130</v>
      </c>
      <c r="V32" s="26">
        <v>2.4170925850885498</v>
      </c>
      <c r="W32" s="26">
        <v>0.11603349473971057</v>
      </c>
      <c r="X32" s="20" t="s">
        <v>14</v>
      </c>
      <c r="Y32">
        <f t="shared" si="10"/>
        <v>0.18709373977231969</v>
      </c>
      <c r="Z32">
        <f t="shared" si="9"/>
        <v>4.8005399319637439E-2</v>
      </c>
    </row>
    <row r="33" spans="18:26" ht="14.45" customHeight="1" x14ac:dyDescent="0.25">
      <c r="R33" s="24">
        <v>2018</v>
      </c>
      <c r="S33" s="25" t="s">
        <v>12</v>
      </c>
      <c r="T33" s="25" t="s">
        <v>15</v>
      </c>
      <c r="U33" s="24">
        <v>140</v>
      </c>
      <c r="V33" s="26">
        <v>2.3411416231601296</v>
      </c>
      <c r="W33" s="26">
        <v>0.12817762407751729</v>
      </c>
      <c r="X33" s="20" t="s">
        <v>14</v>
      </c>
      <c r="Y33">
        <f t="shared" si="10"/>
        <v>0.21263724307162135</v>
      </c>
      <c r="Z33">
        <f t="shared" si="9"/>
        <v>5.4750051346530687E-2</v>
      </c>
    </row>
    <row r="34" spans="18:26" ht="14.45" customHeight="1" x14ac:dyDescent="0.25">
      <c r="R34" s="24">
        <v>2018</v>
      </c>
      <c r="S34" s="25" t="s">
        <v>12</v>
      </c>
      <c r="T34" s="25" t="s">
        <v>15</v>
      </c>
      <c r="U34" s="24">
        <v>150</v>
      </c>
      <c r="V34" s="26">
        <v>2.2645350561620026</v>
      </c>
      <c r="W34" s="26">
        <v>0.16101424034474437</v>
      </c>
      <c r="X34" s="20" t="s">
        <v>14</v>
      </c>
      <c r="Y34">
        <f t="shared" si="10"/>
        <v>0.23840123666934576</v>
      </c>
      <c r="Z34">
        <f t="shared" si="9"/>
        <v>7.1102560283449898E-2</v>
      </c>
    </row>
    <row r="35" spans="18:26" ht="14.45" customHeight="1" x14ac:dyDescent="0.25">
      <c r="R35" s="24">
        <v>2019</v>
      </c>
      <c r="S35" s="25" t="s">
        <v>12</v>
      </c>
      <c r="T35" s="25" t="s">
        <v>13</v>
      </c>
      <c r="U35" s="24">
        <v>0</v>
      </c>
      <c r="V35" s="26">
        <v>2.6521669854919794</v>
      </c>
      <c r="W35" s="26">
        <v>0.15504076422123445</v>
      </c>
      <c r="X35" t="s">
        <v>16</v>
      </c>
      <c r="Y35" s="12">
        <v>0</v>
      </c>
      <c r="Z35">
        <f t="shared" si="9"/>
        <v>5.8458145761313834E-2</v>
      </c>
    </row>
    <row r="36" spans="18:26" ht="14.45" customHeight="1" x14ac:dyDescent="0.25">
      <c r="R36" s="24">
        <v>2019</v>
      </c>
      <c r="S36" s="25" t="s">
        <v>12</v>
      </c>
      <c r="T36" s="25" t="s">
        <v>13</v>
      </c>
      <c r="U36" s="24">
        <v>10</v>
      </c>
      <c r="V36" s="26">
        <v>2.6109390033512154</v>
      </c>
      <c r="W36" s="26">
        <v>0.12686053527554941</v>
      </c>
      <c r="X36" t="s">
        <v>16</v>
      </c>
      <c r="Y36">
        <f>(1)-(V36/$V$35)</f>
        <v>1.5545017476761958E-2</v>
      </c>
      <c r="Z36">
        <f t="shared" si="9"/>
        <v>4.858808846653264E-2</v>
      </c>
    </row>
    <row r="37" spans="18:26" ht="14.45" customHeight="1" x14ac:dyDescent="0.25">
      <c r="R37" s="24">
        <v>2019</v>
      </c>
      <c r="S37" s="25" t="s">
        <v>12</v>
      </c>
      <c r="T37" s="25" t="s">
        <v>13</v>
      </c>
      <c r="U37" s="24">
        <v>20</v>
      </c>
      <c r="V37" s="26">
        <v>2.561885546386907</v>
      </c>
      <c r="W37" s="26">
        <v>0.11627523578691802</v>
      </c>
      <c r="X37" t="s">
        <v>16</v>
      </c>
      <c r="Y37">
        <f t="shared" ref="Y37:Y50" si="11">(1)-(V37/$V$35)</f>
        <v>3.4040631528457488E-2</v>
      </c>
      <c r="Z37">
        <f t="shared" si="9"/>
        <v>4.5386584873357817E-2</v>
      </c>
    </row>
    <row r="38" spans="18:26" ht="14.45" customHeight="1" x14ac:dyDescent="0.25">
      <c r="R38" s="24">
        <v>2019</v>
      </c>
      <c r="S38" s="25" t="s">
        <v>12</v>
      </c>
      <c r="T38" s="25" t="s">
        <v>13</v>
      </c>
      <c r="U38" s="24">
        <v>30</v>
      </c>
      <c r="V38" s="26">
        <v>2.4982990647502819</v>
      </c>
      <c r="W38" s="26">
        <v>0.11594281717709821</v>
      </c>
      <c r="X38" t="s">
        <v>16</v>
      </c>
      <c r="Y38">
        <f t="shared" si="11"/>
        <v>5.801592493360852E-2</v>
      </c>
      <c r="Z38">
        <f t="shared" si="9"/>
        <v>4.6408702149791384E-2</v>
      </c>
    </row>
    <row r="39" spans="18:26" ht="14.45" customHeight="1" x14ac:dyDescent="0.25">
      <c r="R39" s="24">
        <v>2019</v>
      </c>
      <c r="S39" s="25" t="s">
        <v>12</v>
      </c>
      <c r="T39" s="25" t="s">
        <v>13</v>
      </c>
      <c r="U39" s="24">
        <v>40</v>
      </c>
      <c r="V39" s="26">
        <v>2.4099112105255625</v>
      </c>
      <c r="W39" s="26">
        <v>0.11106131038764014</v>
      </c>
      <c r="X39" t="s">
        <v>16</v>
      </c>
      <c r="Y39">
        <f t="shared" si="11"/>
        <v>9.1342579970121407E-2</v>
      </c>
      <c r="Z39">
        <f t="shared" si="9"/>
        <v>4.6085229158056601E-2</v>
      </c>
    </row>
    <row r="40" spans="18:26" ht="14.45" customHeight="1" x14ac:dyDescent="0.25">
      <c r="R40" s="24">
        <v>2019</v>
      </c>
      <c r="S40" s="25" t="s">
        <v>12</v>
      </c>
      <c r="T40" s="25" t="s">
        <v>13</v>
      </c>
      <c r="U40" s="24">
        <v>50</v>
      </c>
      <c r="V40" s="26">
        <v>2.2886830764830139</v>
      </c>
      <c r="W40" s="26">
        <v>0.10161496661989701</v>
      </c>
      <c r="X40" t="s">
        <v>16</v>
      </c>
      <c r="Y40">
        <f t="shared" si="11"/>
        <v>0.13705166793694135</v>
      </c>
      <c r="Z40">
        <f t="shared" si="9"/>
        <v>4.439888058946425E-2</v>
      </c>
    </row>
    <row r="41" spans="18:26" ht="14.45" customHeight="1" x14ac:dyDescent="0.25">
      <c r="R41" s="24">
        <v>2019</v>
      </c>
      <c r="S41" s="25" t="s">
        <v>12</v>
      </c>
      <c r="T41" s="25" t="s">
        <v>13</v>
      </c>
      <c r="U41" s="24">
        <v>60</v>
      </c>
      <c r="V41" s="26">
        <v>2.1382327552293625</v>
      </c>
      <c r="W41" s="26">
        <v>9.9789406709393513E-2</v>
      </c>
      <c r="X41" t="s">
        <v>16</v>
      </c>
      <c r="Y41">
        <f t="shared" si="11"/>
        <v>0.19377898641901747</v>
      </c>
      <c r="Z41">
        <f t="shared" si="9"/>
        <v>4.6669103943592603E-2</v>
      </c>
    </row>
    <row r="42" spans="18:26" ht="14.45" customHeight="1" x14ac:dyDescent="0.25">
      <c r="R42" s="24">
        <v>2019</v>
      </c>
      <c r="S42" s="25" t="s">
        <v>12</v>
      </c>
      <c r="T42" s="25" t="s">
        <v>13</v>
      </c>
      <c r="U42" s="24">
        <v>70</v>
      </c>
      <c r="V42" s="26">
        <v>1.9549231489225503</v>
      </c>
      <c r="W42" s="26">
        <v>9.610230218892489E-2</v>
      </c>
      <c r="X42" t="s">
        <v>16</v>
      </c>
      <c r="Y42">
        <f t="shared" si="11"/>
        <v>0.26289590375852212</v>
      </c>
      <c r="Z42">
        <f t="shared" si="9"/>
        <v>4.9159120266129834E-2</v>
      </c>
    </row>
    <row r="43" spans="18:26" ht="14.45" customHeight="1" x14ac:dyDescent="0.25">
      <c r="R43" s="24">
        <v>2019</v>
      </c>
      <c r="S43" s="25" t="s">
        <v>12</v>
      </c>
      <c r="T43" s="25" t="s">
        <v>13</v>
      </c>
      <c r="U43" s="24">
        <v>80</v>
      </c>
      <c r="V43" s="26">
        <v>1.7637972918011682</v>
      </c>
      <c r="W43" s="26">
        <v>9.7837538272260063E-2</v>
      </c>
      <c r="X43" t="s">
        <v>16</v>
      </c>
      <c r="Y43">
        <f t="shared" si="11"/>
        <v>0.33495993975885263</v>
      </c>
      <c r="Z43">
        <f t="shared" si="9"/>
        <v>5.5469831327583888E-2</v>
      </c>
    </row>
    <row r="44" spans="18:26" ht="14.45" customHeight="1" x14ac:dyDescent="0.25">
      <c r="R44" s="24">
        <v>2019</v>
      </c>
      <c r="S44" s="25" t="s">
        <v>12</v>
      </c>
      <c r="T44" s="25" t="s">
        <v>13</v>
      </c>
      <c r="U44" s="24">
        <v>90</v>
      </c>
      <c r="V44" s="26">
        <v>1.5891256893096986</v>
      </c>
      <c r="W44" s="26">
        <v>9.6014866025533496E-2</v>
      </c>
      <c r="X44" t="s">
        <v>16</v>
      </c>
      <c r="Y44">
        <f t="shared" si="11"/>
        <v>0.40081989633284187</v>
      </c>
      <c r="Z44">
        <f t="shared" si="9"/>
        <v>6.0419931960977523E-2</v>
      </c>
    </row>
    <row r="45" spans="18:26" ht="14.45" customHeight="1" x14ac:dyDescent="0.25">
      <c r="R45" s="24">
        <v>2019</v>
      </c>
      <c r="S45" s="25" t="s">
        <v>12</v>
      </c>
      <c r="T45" s="25" t="s">
        <v>13</v>
      </c>
      <c r="U45" s="24">
        <v>100</v>
      </c>
      <c r="V45" s="26">
        <v>1.4386912454804206</v>
      </c>
      <c r="W45" s="26">
        <v>9.9243679002725876E-2</v>
      </c>
      <c r="X45" t="s">
        <v>16</v>
      </c>
      <c r="Y45">
        <f t="shared" si="11"/>
        <v>0.4575412282294351</v>
      </c>
      <c r="Z45">
        <f t="shared" si="9"/>
        <v>6.8981916248183978E-2</v>
      </c>
    </row>
    <row r="46" spans="18:26" ht="14.45" customHeight="1" x14ac:dyDescent="0.25">
      <c r="R46" s="24">
        <v>2019</v>
      </c>
      <c r="S46" s="25" t="s">
        <v>12</v>
      </c>
      <c r="T46" s="25" t="s">
        <v>13</v>
      </c>
      <c r="U46" s="24">
        <v>110</v>
      </c>
      <c r="V46" s="26">
        <v>1.3282453311252915</v>
      </c>
      <c r="W46" s="26">
        <v>9.954948096211079E-2</v>
      </c>
      <c r="X46" t="s">
        <v>16</v>
      </c>
      <c r="Y46">
        <f t="shared" si="11"/>
        <v>0.49918487848196302</v>
      </c>
      <c r="Z46">
        <f t="shared" si="9"/>
        <v>7.4948112844313422E-2</v>
      </c>
    </row>
    <row r="47" spans="18:26" ht="14.45" customHeight="1" x14ac:dyDescent="0.25">
      <c r="R47" s="24">
        <v>2019</v>
      </c>
      <c r="S47" s="25" t="s">
        <v>12</v>
      </c>
      <c r="T47" s="25" t="s">
        <v>13</v>
      </c>
      <c r="U47" s="24">
        <v>120</v>
      </c>
      <c r="V47" s="26">
        <v>1.2496624253260706</v>
      </c>
      <c r="W47" s="26">
        <v>0.10610885176667209</v>
      </c>
      <c r="X47" t="s">
        <v>16</v>
      </c>
      <c r="Y47">
        <f t="shared" si="11"/>
        <v>0.52881457609492966</v>
      </c>
      <c r="Z47">
        <f t="shared" si="9"/>
        <v>8.491001218908012E-2</v>
      </c>
    </row>
    <row r="48" spans="18:26" ht="14.45" customHeight="1" x14ac:dyDescent="0.25">
      <c r="R48" s="24">
        <v>2019</v>
      </c>
      <c r="S48" s="25" t="s">
        <v>12</v>
      </c>
      <c r="T48" s="25" t="s">
        <v>13</v>
      </c>
      <c r="U48" s="24">
        <v>130</v>
      </c>
      <c r="V48" s="26">
        <v>1.2079953511830566</v>
      </c>
      <c r="W48" s="26">
        <v>0.1085887565285595</v>
      </c>
      <c r="X48" t="s">
        <v>16</v>
      </c>
      <c r="Y48">
        <f t="shared" si="11"/>
        <v>0.54452515328367523</v>
      </c>
      <c r="Z48">
        <f t="shared" si="9"/>
        <v>8.9891700677666123E-2</v>
      </c>
    </row>
    <row r="49" spans="18:26" ht="14.45" customHeight="1" x14ac:dyDescent="0.25">
      <c r="R49" s="24">
        <v>2019</v>
      </c>
      <c r="S49" s="25" t="s">
        <v>12</v>
      </c>
      <c r="T49" s="25" t="s">
        <v>13</v>
      </c>
      <c r="U49" s="24">
        <v>140</v>
      </c>
      <c r="V49" s="26">
        <v>1.1876283993438757</v>
      </c>
      <c r="W49" s="26">
        <v>0.11905004615007873</v>
      </c>
      <c r="X49" t="s">
        <v>16</v>
      </c>
      <c r="Y49">
        <f t="shared" si="11"/>
        <v>0.55220451583912267</v>
      </c>
      <c r="Z49">
        <f t="shared" si="9"/>
        <v>0.10024183171760614</v>
      </c>
    </row>
    <row r="50" spans="18:26" ht="14.45" customHeight="1" x14ac:dyDescent="0.25">
      <c r="R50" s="24">
        <v>2019</v>
      </c>
      <c r="S50" s="25" t="s">
        <v>12</v>
      </c>
      <c r="T50" s="25" t="s">
        <v>13</v>
      </c>
      <c r="U50" s="24">
        <v>150</v>
      </c>
      <c r="V50" s="26">
        <v>1.1787307441296928</v>
      </c>
      <c r="W50" s="26">
        <v>0.14998035377311589</v>
      </c>
      <c r="X50" t="s">
        <v>16</v>
      </c>
      <c r="Y50">
        <f t="shared" si="11"/>
        <v>0.55555937820746337</v>
      </c>
      <c r="Z50">
        <f t="shared" si="9"/>
        <v>0.12723885800047813</v>
      </c>
    </row>
    <row r="51" spans="18:26" ht="14.45" customHeight="1" x14ac:dyDescent="0.25">
      <c r="R51" s="24">
        <v>2019</v>
      </c>
      <c r="S51" s="25" t="s">
        <v>12</v>
      </c>
      <c r="T51" s="25" t="s">
        <v>15</v>
      </c>
      <c r="U51" s="24">
        <v>0</v>
      </c>
      <c r="V51" s="26">
        <v>2.4495123922279052</v>
      </c>
      <c r="W51" s="26">
        <v>0.15504076422123514</v>
      </c>
      <c r="X51" t="s">
        <v>16</v>
      </c>
      <c r="Y51" s="12">
        <v>0</v>
      </c>
      <c r="Z51">
        <f t="shared" si="9"/>
        <v>6.3294541686405151E-2</v>
      </c>
    </row>
    <row r="52" spans="18:26" ht="14.45" customHeight="1" x14ac:dyDescent="0.25">
      <c r="R52" s="24">
        <v>2019</v>
      </c>
      <c r="S52" s="25" t="s">
        <v>12</v>
      </c>
      <c r="T52" s="25" t="s">
        <v>15</v>
      </c>
      <c r="U52" s="24">
        <v>10</v>
      </c>
      <c r="V52" s="26">
        <v>2.5472314324786232</v>
      </c>
      <c r="W52" s="26">
        <v>0.12686053526171118</v>
      </c>
      <c r="X52" t="s">
        <v>16</v>
      </c>
      <c r="Y52" s="20">
        <f>(1)-(V52/$V$51)</f>
        <v>-3.9893262251202488E-2</v>
      </c>
      <c r="Z52">
        <f t="shared" si="9"/>
        <v>4.9803301594102727E-2</v>
      </c>
    </row>
    <row r="53" spans="18:26" ht="14.45" customHeight="1" x14ac:dyDescent="0.25">
      <c r="R53" s="24">
        <v>2019</v>
      </c>
      <c r="S53" s="25" t="s">
        <v>12</v>
      </c>
      <c r="T53" s="25" t="s">
        <v>15</v>
      </c>
      <c r="U53" s="24">
        <v>20</v>
      </c>
      <c r="V53" s="26">
        <v>2.6337940165775948</v>
      </c>
      <c r="W53" s="26">
        <v>0.11627523578639512</v>
      </c>
      <c r="X53" t="s">
        <v>16</v>
      </c>
      <c r="Y53" s="20">
        <f t="shared" ref="Y53:Y66" si="12">(1)-(V53/$V$51)</f>
        <v>-7.5231962465019508E-2</v>
      </c>
      <c r="Z53">
        <f t="shared" si="9"/>
        <v>4.4147429546326299E-2</v>
      </c>
    </row>
    <row r="54" spans="18:26" ht="14.45" customHeight="1" x14ac:dyDescent="0.25">
      <c r="R54" s="24">
        <v>2019</v>
      </c>
      <c r="S54" s="25" t="s">
        <v>12</v>
      </c>
      <c r="T54" s="25" t="s">
        <v>15</v>
      </c>
      <c r="U54" s="24">
        <v>30</v>
      </c>
      <c r="V54" s="26">
        <v>2.6996374678232944</v>
      </c>
      <c r="W54" s="26">
        <v>0.11594281717709808</v>
      </c>
      <c r="X54" t="s">
        <v>16</v>
      </c>
      <c r="Y54" s="20">
        <f t="shared" si="12"/>
        <v>-0.10211219032368035</v>
      </c>
      <c r="Z54">
        <f t="shared" si="9"/>
        <v>4.2947550757836475E-2</v>
      </c>
    </row>
    <row r="55" spans="18:26" ht="14.45" customHeight="1" x14ac:dyDescent="0.25">
      <c r="R55" s="24">
        <v>2019</v>
      </c>
      <c r="S55" s="25" t="s">
        <v>12</v>
      </c>
      <c r="T55" s="25" t="s">
        <v>15</v>
      </c>
      <c r="U55" s="24">
        <v>40</v>
      </c>
      <c r="V55" s="26">
        <v>2.730122626822022</v>
      </c>
      <c r="W55" s="26">
        <v>0.11106131038764055</v>
      </c>
      <c r="X55" t="s">
        <v>16</v>
      </c>
      <c r="Y55" s="20">
        <f t="shared" si="12"/>
        <v>-0.11455758929184001</v>
      </c>
      <c r="Z55">
        <f t="shared" si="9"/>
        <v>4.0679971403673035E-2</v>
      </c>
    </row>
    <row r="56" spans="18:26" ht="14.45" customHeight="1" x14ac:dyDescent="0.25">
      <c r="R56" s="24">
        <v>2019</v>
      </c>
      <c r="S56" s="25" t="s">
        <v>12</v>
      </c>
      <c r="T56" s="25" t="s">
        <v>15</v>
      </c>
      <c r="U56" s="24">
        <v>50</v>
      </c>
      <c r="V56" s="26">
        <v>2.7128875286061449</v>
      </c>
      <c r="W56" s="26">
        <v>0.10161496661989737</v>
      </c>
      <c r="X56" t="s">
        <v>16</v>
      </c>
      <c r="Y56" s="20">
        <f t="shared" si="12"/>
        <v>-0.10752145496953047</v>
      </c>
      <c r="Z56">
        <f t="shared" si="9"/>
        <v>3.7456387538522894E-2</v>
      </c>
    </row>
    <row r="57" spans="18:26" ht="14.45" customHeight="1" x14ac:dyDescent="0.25">
      <c r="R57" s="24">
        <v>2019</v>
      </c>
      <c r="S57" s="25" t="s">
        <v>12</v>
      </c>
      <c r="T57" s="25" t="s">
        <v>15</v>
      </c>
      <c r="U57" s="24">
        <v>60</v>
      </c>
      <c r="V57" s="26">
        <v>2.650667038919035</v>
      </c>
      <c r="W57" s="26">
        <v>9.9789406709393819E-2</v>
      </c>
      <c r="X57" t="s">
        <v>16</v>
      </c>
      <c r="Y57" s="20">
        <f t="shared" si="12"/>
        <v>-8.2120281297362041E-2</v>
      </c>
      <c r="Z57">
        <f t="shared" si="9"/>
        <v>3.7646903682813669E-2</v>
      </c>
    </row>
    <row r="58" spans="18:26" ht="14.45" customHeight="1" x14ac:dyDescent="0.25">
      <c r="R58" s="24">
        <v>2019</v>
      </c>
      <c r="S58" s="25" t="s">
        <v>12</v>
      </c>
      <c r="T58" s="25" t="s">
        <v>15</v>
      </c>
      <c r="U58" s="24">
        <v>70</v>
      </c>
      <c r="V58" s="26">
        <v>2.5299322274395477</v>
      </c>
      <c r="W58" s="26">
        <v>9.610230218892514E-2</v>
      </c>
      <c r="X58" t="s">
        <v>16</v>
      </c>
      <c r="Y58" s="20">
        <f t="shared" si="12"/>
        <v>-3.2830956669910316E-2</v>
      </c>
      <c r="Z58">
        <f t="shared" si="9"/>
        <v>3.7986117235316925E-2</v>
      </c>
    </row>
    <row r="59" spans="18:26" ht="14.45" customHeight="1" x14ac:dyDescent="0.25">
      <c r="R59" s="24">
        <v>2019</v>
      </c>
      <c r="S59" s="25" t="s">
        <v>12</v>
      </c>
      <c r="T59" s="25" t="s">
        <v>15</v>
      </c>
      <c r="U59" s="24">
        <v>80</v>
      </c>
      <c r="V59" s="26">
        <v>2.3770209514080309</v>
      </c>
      <c r="W59" s="26">
        <v>9.7837538272260202E-2</v>
      </c>
      <c r="X59" t="s">
        <v>16</v>
      </c>
      <c r="Y59">
        <f t="shared" si="12"/>
        <v>2.9594233142025916E-2</v>
      </c>
      <c r="Z59">
        <f t="shared" si="9"/>
        <v>4.1159729035752095E-2</v>
      </c>
    </row>
    <row r="60" spans="18:26" ht="14.45" customHeight="1" x14ac:dyDescent="0.25">
      <c r="R60" s="24">
        <v>2019</v>
      </c>
      <c r="S60" s="25" t="s">
        <v>12</v>
      </c>
      <c r="T60" s="25" t="s">
        <v>15</v>
      </c>
      <c r="U60" s="24">
        <v>90</v>
      </c>
      <c r="V60" s="26">
        <v>2.2068587458004356</v>
      </c>
      <c r="W60" s="26">
        <v>9.6014866025533552E-2</v>
      </c>
      <c r="X60" t="s">
        <v>16</v>
      </c>
      <c r="Y60">
        <f t="shared" si="12"/>
        <v>9.9062020342248092E-2</v>
      </c>
      <c r="Z60">
        <f t="shared" si="9"/>
        <v>4.3507481486183032E-2</v>
      </c>
    </row>
    <row r="61" spans="18:26" ht="14.45" customHeight="1" x14ac:dyDescent="0.25">
      <c r="R61" s="24">
        <v>2019</v>
      </c>
      <c r="S61" s="25" t="s">
        <v>12</v>
      </c>
      <c r="T61" s="25" t="s">
        <v>15</v>
      </c>
      <c r="U61" s="24">
        <v>100</v>
      </c>
      <c r="V61" s="26">
        <v>2.0409629096331385</v>
      </c>
      <c r="W61" s="26">
        <v>9.9243679002725071E-2</v>
      </c>
      <c r="X61" t="s">
        <v>16</v>
      </c>
      <c r="Y61">
        <f t="shared" si="12"/>
        <v>0.16678808561698222</v>
      </c>
      <c r="Z61">
        <f t="shared" si="9"/>
        <v>4.8625910120318673E-2</v>
      </c>
    </row>
    <row r="62" spans="18:26" ht="14.45" customHeight="1" x14ac:dyDescent="0.25">
      <c r="R62" s="24">
        <v>2019</v>
      </c>
      <c r="S62" s="25" t="s">
        <v>12</v>
      </c>
      <c r="T62" s="25" t="s">
        <v>15</v>
      </c>
      <c r="U62" s="24">
        <v>110</v>
      </c>
      <c r="V62" s="26">
        <v>1.9006295034688478</v>
      </c>
      <c r="W62" s="26">
        <v>9.9549480962110443E-2</v>
      </c>
      <c r="X62" t="s">
        <v>16</v>
      </c>
      <c r="Y62">
        <f t="shared" si="12"/>
        <v>0.22407842903780206</v>
      </c>
      <c r="Z62">
        <f t="shared" si="9"/>
        <v>5.2377110205025341E-2</v>
      </c>
    </row>
    <row r="63" spans="18:26" ht="14.45" customHeight="1" x14ac:dyDescent="0.25">
      <c r="R63" s="24">
        <v>2019</v>
      </c>
      <c r="S63" s="25" t="s">
        <v>12</v>
      </c>
      <c r="T63" s="25" t="s">
        <v>15</v>
      </c>
      <c r="U63" s="24">
        <v>120</v>
      </c>
      <c r="V63" s="26">
        <v>1.7875552582117402</v>
      </c>
      <c r="W63" s="26">
        <v>0.10610885175876328</v>
      </c>
      <c r="X63" t="s">
        <v>16</v>
      </c>
      <c r="Y63">
        <f t="shared" si="12"/>
        <v>0.27024036951864328</v>
      </c>
      <c r="Z63">
        <f t="shared" si="9"/>
        <v>5.9359760360591006E-2</v>
      </c>
    </row>
    <row r="64" spans="18:26" ht="14.45" customHeight="1" x14ac:dyDescent="0.25">
      <c r="R64" s="24">
        <v>2019</v>
      </c>
      <c r="S64" s="25" t="s">
        <v>12</v>
      </c>
      <c r="T64" s="25" t="s">
        <v>15</v>
      </c>
      <c r="U64" s="24">
        <v>130</v>
      </c>
      <c r="V64" s="26">
        <v>1.7117491768974085</v>
      </c>
      <c r="W64" s="26">
        <v>0.10858875652850944</v>
      </c>
      <c r="X64" t="s">
        <v>16</v>
      </c>
      <c r="Y64">
        <f t="shared" si="12"/>
        <v>0.30118778646368838</v>
      </c>
      <c r="Z64">
        <f t="shared" si="9"/>
        <v>6.3437306115916747E-2</v>
      </c>
    </row>
    <row r="65" spans="18:26" ht="14.45" customHeight="1" x14ac:dyDescent="0.25">
      <c r="R65" s="24">
        <v>2019</v>
      </c>
      <c r="S65" s="25" t="s">
        <v>12</v>
      </c>
      <c r="T65" s="25" t="s">
        <v>15</v>
      </c>
      <c r="U65" s="24">
        <v>140</v>
      </c>
      <c r="V65" s="26">
        <v>1.6583628588985808</v>
      </c>
      <c r="W65" s="26">
        <v>0.1190500461480625</v>
      </c>
      <c r="X65" t="s">
        <v>16</v>
      </c>
      <c r="Y65">
        <f t="shared" si="12"/>
        <v>0.32298245799432357</v>
      </c>
      <c r="Z65">
        <f t="shared" si="9"/>
        <v>7.1787694417572059E-2</v>
      </c>
    </row>
    <row r="66" spans="18:26" ht="14.45" customHeight="1" x14ac:dyDescent="0.25">
      <c r="R66" s="24">
        <v>2019</v>
      </c>
      <c r="S66" s="25" t="s">
        <v>12</v>
      </c>
      <c r="T66" s="25" t="s">
        <v>15</v>
      </c>
      <c r="U66" s="24">
        <v>150</v>
      </c>
      <c r="V66" s="26">
        <v>1.6170487211464146</v>
      </c>
      <c r="W66" s="26">
        <v>0.14998035377311567</v>
      </c>
      <c r="X66" t="s">
        <v>16</v>
      </c>
      <c r="Y66">
        <f t="shared" si="12"/>
        <v>0.33984872814802947</v>
      </c>
      <c r="Z66">
        <f t="shared" si="9"/>
        <v>9.274943408432762E-2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66"/>
  <sheetViews>
    <sheetView workbookViewId="0">
      <pane xSplit="18" ySplit="1" topLeftCell="S2" activePane="bottomRight" state="frozen"/>
      <selection pane="topRight" activeCell="K1" sqref="K1"/>
      <selection pane="bottomLeft" activeCell="A2" sqref="A2"/>
      <selection pane="bottomRight" activeCell="I18" sqref="I18"/>
    </sheetView>
  </sheetViews>
  <sheetFormatPr defaultRowHeight="15" x14ac:dyDescent="0.25"/>
  <cols>
    <col min="6" max="6" width="7.5703125" bestFit="1" customWidth="1"/>
    <col min="12" max="12" width="18.42578125" customWidth="1"/>
    <col min="18" max="18" width="23.5703125" customWidth="1"/>
    <col min="20" max="20" width="15.7109375" customWidth="1"/>
  </cols>
  <sheetData>
    <row r="1" spans="1:26" ht="45" x14ac:dyDescent="0.25">
      <c r="A1" s="19" t="s">
        <v>28</v>
      </c>
      <c r="B1" s="27" t="s">
        <v>17</v>
      </c>
      <c r="C1" s="27" t="s">
        <v>24</v>
      </c>
      <c r="D1" s="19" t="s">
        <v>23</v>
      </c>
      <c r="E1" s="19" t="s">
        <v>5</v>
      </c>
      <c r="F1" s="19" t="s">
        <v>35</v>
      </c>
      <c r="G1" s="19" t="s">
        <v>33</v>
      </c>
      <c r="H1" s="19" t="s">
        <v>34</v>
      </c>
      <c r="I1" s="19" t="s">
        <v>36</v>
      </c>
      <c r="J1" s="19" t="s">
        <v>37</v>
      </c>
      <c r="N1" s="19" t="s">
        <v>29</v>
      </c>
      <c r="O1" s="19" t="s">
        <v>30</v>
      </c>
      <c r="P1" s="36" t="s">
        <v>31</v>
      </c>
      <c r="R1" s="21" t="s">
        <v>6</v>
      </c>
      <c r="V1" s="22"/>
      <c r="W1" s="22"/>
    </row>
    <row r="2" spans="1:26" ht="18" customHeight="1" x14ac:dyDescent="0.25">
      <c r="A2">
        <v>100</v>
      </c>
      <c r="B2" s="12">
        <v>0</v>
      </c>
      <c r="C2">
        <f>(E2)/D2</f>
        <v>5.8458145761313834E-2</v>
      </c>
      <c r="D2" s="26">
        <v>2.6521669854919794</v>
      </c>
      <c r="E2" s="26">
        <v>0.15504076422123445</v>
      </c>
      <c r="F2" s="26">
        <f>E2*_xlfn.T.INV.2T(0.05,100)</f>
        <v>0.30759646042505506</v>
      </c>
      <c r="G2" s="26">
        <f>D2+F2</f>
        <v>2.9597634459170346</v>
      </c>
      <c r="H2" s="26">
        <f>D2-F2</f>
        <v>2.3445705250669242</v>
      </c>
      <c r="I2" s="26">
        <f>1-(G2/$D$2)</f>
        <v>-0.11597929621614522</v>
      </c>
      <c r="J2" s="26">
        <f>1-(H2/$D$2)</f>
        <v>0.11597929621614522</v>
      </c>
      <c r="K2" s="20" t="s">
        <v>14</v>
      </c>
      <c r="L2" s="25" t="s">
        <v>13</v>
      </c>
      <c r="M2">
        <v>2019</v>
      </c>
      <c r="N2">
        <v>100</v>
      </c>
      <c r="O2">
        <v>100</v>
      </c>
      <c r="P2" s="24">
        <v>0</v>
      </c>
      <c r="R2" s="23" t="s">
        <v>7</v>
      </c>
      <c r="S2" s="23" t="s">
        <v>8</v>
      </c>
      <c r="T2" s="23" t="s">
        <v>9</v>
      </c>
      <c r="U2" s="23" t="s">
        <v>10</v>
      </c>
      <c r="V2" s="23" t="s">
        <v>4</v>
      </c>
      <c r="W2" s="23" t="s">
        <v>11</v>
      </c>
      <c r="X2" s="23" t="s">
        <v>3</v>
      </c>
      <c r="Y2" s="27" t="s">
        <v>17</v>
      </c>
      <c r="Z2" s="27" t="s">
        <v>18</v>
      </c>
    </row>
    <row r="3" spans="1:26" ht="18" customHeight="1" x14ac:dyDescent="0.25">
      <c r="A3">
        <v>110</v>
      </c>
      <c r="B3">
        <f>(1)-(D3/$D$2)</f>
        <v>1.5545017476761958E-2</v>
      </c>
      <c r="C3">
        <f t="shared" ref="C3:C17" si="0">(E3)/D3</f>
        <v>4.858808846653264E-2</v>
      </c>
      <c r="D3" s="26">
        <v>2.6109390033512154</v>
      </c>
      <c r="E3" s="26">
        <v>0.12686053527554941</v>
      </c>
      <c r="F3" s="26">
        <f t="shared" ref="F3:F17" si="1">E3*_xlfn.T.INV.2T(0.05,100)</f>
        <v>0.25168768881134285</v>
      </c>
      <c r="G3" s="26">
        <f t="shared" ref="G3:G17" si="2">D3+F3</f>
        <v>2.8626266921625581</v>
      </c>
      <c r="H3" s="26">
        <f t="shared" ref="H3:H17" si="3">D3-F3</f>
        <v>2.3592513145398728</v>
      </c>
      <c r="I3" s="26">
        <f t="shared" ref="I3:J17" si="4">1-(G3/$D$2)</f>
        <v>-7.9353867166677805E-2</v>
      </c>
      <c r="J3" s="26">
        <f t="shared" si="4"/>
        <v>0.11044390212020172</v>
      </c>
      <c r="K3" s="20" t="s">
        <v>14</v>
      </c>
      <c r="L3" s="25" t="s">
        <v>13</v>
      </c>
      <c r="M3">
        <v>2019</v>
      </c>
      <c r="N3">
        <v>100</v>
      </c>
      <c r="O3">
        <v>110</v>
      </c>
      <c r="P3" s="24">
        <v>10</v>
      </c>
      <c r="R3" s="24">
        <v>2018</v>
      </c>
      <c r="S3" s="25" t="s">
        <v>12</v>
      </c>
      <c r="T3" s="25" t="s">
        <v>13</v>
      </c>
      <c r="U3" s="24">
        <v>0</v>
      </c>
      <c r="V3" s="26">
        <v>2.535736213676909</v>
      </c>
      <c r="W3" s="26">
        <v>0.16672837665579973</v>
      </c>
      <c r="X3" s="20" t="s">
        <v>14</v>
      </c>
      <c r="Y3" s="12">
        <v>0</v>
      </c>
      <c r="Z3">
        <f>W3/V3</f>
        <v>6.5751467268765143E-2</v>
      </c>
    </row>
    <row r="4" spans="1:26" ht="18" customHeight="1" x14ac:dyDescent="0.25">
      <c r="A4">
        <v>120</v>
      </c>
      <c r="B4">
        <f t="shared" ref="B4:B17" si="5">(1)-(D4/$D$2)</f>
        <v>3.4040631528457488E-2</v>
      </c>
      <c r="C4">
        <f t="shared" si="0"/>
        <v>4.5386584873357817E-2</v>
      </c>
      <c r="D4" s="26">
        <v>2.561885546386907</v>
      </c>
      <c r="E4" s="26">
        <v>0.11627523578691802</v>
      </c>
      <c r="F4" s="26">
        <f t="shared" si="1"/>
        <v>0.23068675611085621</v>
      </c>
      <c r="G4" s="26">
        <f t="shared" si="2"/>
        <v>2.7925723024977631</v>
      </c>
      <c r="H4" s="26">
        <f t="shared" si="3"/>
        <v>2.3311987902760509</v>
      </c>
      <c r="I4" s="26">
        <f t="shared" si="4"/>
        <v>-5.2939847971050114E-2</v>
      </c>
      <c r="J4" s="26">
        <f t="shared" si="4"/>
        <v>0.12102111102796509</v>
      </c>
      <c r="K4" s="20" t="s">
        <v>14</v>
      </c>
      <c r="L4" s="25" t="s">
        <v>13</v>
      </c>
      <c r="M4">
        <v>2019</v>
      </c>
      <c r="N4">
        <v>100</v>
      </c>
      <c r="O4">
        <v>120</v>
      </c>
      <c r="P4" s="24">
        <v>20</v>
      </c>
      <c r="R4" s="24">
        <v>2018</v>
      </c>
      <c r="S4" s="25" t="s">
        <v>12</v>
      </c>
      <c r="T4" s="25" t="s">
        <v>13</v>
      </c>
      <c r="U4" s="24">
        <v>10</v>
      </c>
      <c r="V4" s="26">
        <v>2.5049184239106199</v>
      </c>
      <c r="W4" s="26">
        <v>0.13663701374892348</v>
      </c>
      <c r="X4" s="20" t="s">
        <v>14</v>
      </c>
      <c r="Y4">
        <f t="shared" ref="Y4:Y18" si="6">(1)-(V4/$V$3)</f>
        <v>1.2153389457495001E-2</v>
      </c>
      <c r="Z4">
        <f>W4/V4</f>
        <v>5.4547490427097015E-2</v>
      </c>
    </row>
    <row r="5" spans="1:26" ht="18" customHeight="1" x14ac:dyDescent="0.25">
      <c r="A5">
        <v>130</v>
      </c>
      <c r="B5">
        <f t="shared" si="5"/>
        <v>5.801592493360852E-2</v>
      </c>
      <c r="C5">
        <f t="shared" si="0"/>
        <v>4.6408702149791384E-2</v>
      </c>
      <c r="D5" s="26">
        <v>2.4982990647502819</v>
      </c>
      <c r="E5" s="26">
        <v>0.11594281717709821</v>
      </c>
      <c r="F5" s="26">
        <f t="shared" si="1"/>
        <v>0.23002724705674654</v>
      </c>
      <c r="G5" s="26">
        <f t="shared" si="2"/>
        <v>2.7283263118070282</v>
      </c>
      <c r="H5" s="26">
        <f t="shared" si="3"/>
        <v>2.2682718176935355</v>
      </c>
      <c r="I5" s="26">
        <f t="shared" si="4"/>
        <v>-2.8715886568100535E-2</v>
      </c>
      <c r="J5" s="26">
        <f t="shared" si="4"/>
        <v>0.14474773643531758</v>
      </c>
      <c r="K5" s="20" t="s">
        <v>14</v>
      </c>
      <c r="L5" s="25" t="s">
        <v>13</v>
      </c>
      <c r="M5">
        <v>2019</v>
      </c>
      <c r="N5">
        <v>100</v>
      </c>
      <c r="O5">
        <v>130</v>
      </c>
      <c r="P5" s="24">
        <v>30</v>
      </c>
      <c r="R5" s="24">
        <v>2018</v>
      </c>
      <c r="S5" s="25" t="s">
        <v>12</v>
      </c>
      <c r="T5" s="25" t="s">
        <v>13</v>
      </c>
      <c r="U5" s="24">
        <v>20</v>
      </c>
      <c r="V5" s="26">
        <v>2.4727540597575515</v>
      </c>
      <c r="W5" s="26">
        <v>0.12433479420386573</v>
      </c>
      <c r="X5" s="20" t="s">
        <v>14</v>
      </c>
      <c r="Y5">
        <f t="shared" si="6"/>
        <v>2.4837817742891843E-2</v>
      </c>
      <c r="Z5">
        <f t="shared" ref="Z5:Z17" si="7">W5/V5</f>
        <v>5.0281908834903098E-2</v>
      </c>
    </row>
    <row r="6" spans="1:26" ht="18" customHeight="1" x14ac:dyDescent="0.25">
      <c r="A6">
        <v>140</v>
      </c>
      <c r="B6">
        <f t="shared" si="5"/>
        <v>9.1342579970121407E-2</v>
      </c>
      <c r="C6">
        <f t="shared" si="0"/>
        <v>4.6085229158056601E-2</v>
      </c>
      <c r="D6" s="26">
        <v>2.4099112105255625</v>
      </c>
      <c r="E6" s="26">
        <v>0.11106131038764014</v>
      </c>
      <c r="F6" s="26">
        <f t="shared" si="1"/>
        <v>0.22034247661898235</v>
      </c>
      <c r="G6" s="26">
        <f t="shared" si="2"/>
        <v>2.630253687144545</v>
      </c>
      <c r="H6" s="26">
        <f t="shared" si="3"/>
        <v>2.1895687339065799</v>
      </c>
      <c r="I6" s="26">
        <f t="shared" si="4"/>
        <v>8.2624127618304843E-3</v>
      </c>
      <c r="J6" s="26">
        <f t="shared" si="4"/>
        <v>0.17442274717841233</v>
      </c>
      <c r="K6" s="20" t="s">
        <v>14</v>
      </c>
      <c r="L6" s="25" t="s">
        <v>13</v>
      </c>
      <c r="M6">
        <v>2019</v>
      </c>
      <c r="N6">
        <v>100</v>
      </c>
      <c r="O6">
        <v>140</v>
      </c>
      <c r="P6" s="24">
        <v>40</v>
      </c>
      <c r="R6" s="24">
        <v>2018</v>
      </c>
      <c r="S6" s="25" t="s">
        <v>12</v>
      </c>
      <c r="T6" s="25" t="s">
        <v>13</v>
      </c>
      <c r="U6" s="24">
        <v>30</v>
      </c>
      <c r="V6" s="26">
        <v>2.4380889146004576</v>
      </c>
      <c r="W6" s="26">
        <v>0.12299192039369664</v>
      </c>
      <c r="X6" s="20" t="s">
        <v>14</v>
      </c>
      <c r="Y6">
        <f t="shared" si="6"/>
        <v>3.8508460994394755E-2</v>
      </c>
      <c r="Z6">
        <f t="shared" si="7"/>
        <v>5.0446035686869922E-2</v>
      </c>
    </row>
    <row r="7" spans="1:26" ht="18" customHeight="1" x14ac:dyDescent="0.25">
      <c r="A7">
        <v>150</v>
      </c>
      <c r="B7">
        <f t="shared" si="5"/>
        <v>0.13705166793694135</v>
      </c>
      <c r="C7">
        <f t="shared" si="0"/>
        <v>4.439888058946425E-2</v>
      </c>
      <c r="D7" s="26">
        <v>2.2886830764830139</v>
      </c>
      <c r="E7" s="26">
        <v>0.10161496661989701</v>
      </c>
      <c r="F7" s="26">
        <f t="shared" si="1"/>
        <v>0.20160119962959749</v>
      </c>
      <c r="G7" s="26">
        <f t="shared" si="2"/>
        <v>2.4902842761126114</v>
      </c>
      <c r="H7" s="26">
        <f t="shared" si="3"/>
        <v>2.0870818768534165</v>
      </c>
      <c r="I7" s="26">
        <f t="shared" si="4"/>
        <v>6.1037902313431647E-2</v>
      </c>
      <c r="J7" s="26">
        <f t="shared" si="4"/>
        <v>0.21306543356045093</v>
      </c>
      <c r="K7" s="20" t="s">
        <v>14</v>
      </c>
      <c r="L7" s="25" t="s">
        <v>13</v>
      </c>
      <c r="M7">
        <v>2019</v>
      </c>
      <c r="N7">
        <v>100</v>
      </c>
      <c r="O7">
        <v>150</v>
      </c>
      <c r="P7" s="24">
        <v>50</v>
      </c>
      <c r="R7" s="24">
        <v>2018</v>
      </c>
      <c r="S7" s="25" t="s">
        <v>12</v>
      </c>
      <c r="T7" s="25" t="s">
        <v>13</v>
      </c>
      <c r="U7" s="24">
        <v>40</v>
      </c>
      <c r="V7" s="26">
        <v>2.3991560548525945</v>
      </c>
      <c r="W7" s="26">
        <v>0.11788412862737092</v>
      </c>
      <c r="X7" s="20" t="s">
        <v>14</v>
      </c>
      <c r="Y7">
        <f t="shared" si="6"/>
        <v>5.3862132065491286E-2</v>
      </c>
      <c r="Z7">
        <f t="shared" si="7"/>
        <v>4.9135665180651947E-2</v>
      </c>
    </row>
    <row r="8" spans="1:26" ht="18" customHeight="1" x14ac:dyDescent="0.25">
      <c r="A8">
        <v>160</v>
      </c>
      <c r="B8">
        <f t="shared" si="5"/>
        <v>0.19377898641901747</v>
      </c>
      <c r="C8">
        <f t="shared" si="0"/>
        <v>4.6669103943592603E-2</v>
      </c>
      <c r="D8" s="26">
        <v>2.1382327552293625</v>
      </c>
      <c r="E8" s="26">
        <v>9.9789406709393513E-2</v>
      </c>
      <c r="F8" s="26">
        <f t="shared" si="1"/>
        <v>0.19797934076180013</v>
      </c>
      <c r="G8" s="26">
        <f t="shared" si="2"/>
        <v>2.3362120959911628</v>
      </c>
      <c r="H8" s="26">
        <f t="shared" si="3"/>
        <v>1.9402534144675623</v>
      </c>
      <c r="I8" s="26">
        <f t="shared" si="4"/>
        <v>0.11913084327991763</v>
      </c>
      <c r="J8" s="26">
        <f t="shared" si="4"/>
        <v>0.26842712955811732</v>
      </c>
      <c r="K8" s="20" t="s">
        <v>14</v>
      </c>
      <c r="L8" s="25" t="s">
        <v>13</v>
      </c>
      <c r="M8">
        <v>2019</v>
      </c>
      <c r="N8">
        <v>100</v>
      </c>
      <c r="O8">
        <v>160</v>
      </c>
      <c r="P8" s="24">
        <v>60</v>
      </c>
      <c r="R8" s="24">
        <v>2018</v>
      </c>
      <c r="S8" s="25" t="s">
        <v>12</v>
      </c>
      <c r="T8" s="25" t="s">
        <v>13</v>
      </c>
      <c r="U8" s="24">
        <v>50</v>
      </c>
      <c r="V8" s="26">
        <v>2.3555411450203505</v>
      </c>
      <c r="W8" s="26">
        <v>0.10838806305510534</v>
      </c>
      <c r="X8" s="20" t="s">
        <v>14</v>
      </c>
      <c r="Y8">
        <f t="shared" si="6"/>
        <v>7.1062229456142489E-2</v>
      </c>
      <c r="Z8">
        <f t="shared" si="7"/>
        <v>4.6014081853012562E-2</v>
      </c>
    </row>
    <row r="9" spans="1:26" ht="18" customHeight="1" x14ac:dyDescent="0.25">
      <c r="A9">
        <v>170</v>
      </c>
      <c r="B9">
        <f t="shared" si="5"/>
        <v>0.26289590375852212</v>
      </c>
      <c r="C9">
        <f t="shared" si="0"/>
        <v>4.9159120266129834E-2</v>
      </c>
      <c r="D9" s="26">
        <v>1.9549231489225503</v>
      </c>
      <c r="E9" s="26">
        <v>9.610230218892489E-2</v>
      </c>
      <c r="F9" s="26">
        <f t="shared" si="1"/>
        <v>0.19066423040737093</v>
      </c>
      <c r="G9" s="26">
        <f t="shared" si="2"/>
        <v>2.1455873793299212</v>
      </c>
      <c r="H9" s="26">
        <f t="shared" si="3"/>
        <v>1.7642589185151794</v>
      </c>
      <c r="I9" s="26">
        <f t="shared" si="4"/>
        <v>0.19100592418696716</v>
      </c>
      <c r="J9" s="26">
        <f t="shared" si="4"/>
        <v>0.33478588333007708</v>
      </c>
      <c r="K9" s="20" t="s">
        <v>14</v>
      </c>
      <c r="L9" s="25" t="s">
        <v>13</v>
      </c>
      <c r="M9">
        <v>2019</v>
      </c>
      <c r="N9">
        <v>100</v>
      </c>
      <c r="O9">
        <v>170</v>
      </c>
      <c r="P9" s="24">
        <v>70</v>
      </c>
      <c r="R9" s="24">
        <v>2018</v>
      </c>
      <c r="S9" s="25" t="s">
        <v>12</v>
      </c>
      <c r="T9" s="25" t="s">
        <v>13</v>
      </c>
      <c r="U9" s="24">
        <v>60</v>
      </c>
      <c r="V9" s="26">
        <v>2.3104722114597114</v>
      </c>
      <c r="W9" s="26">
        <v>0.10626905961458794</v>
      </c>
      <c r="X9" s="20" t="s">
        <v>14</v>
      </c>
      <c r="Y9">
        <f t="shared" si="6"/>
        <v>8.8835739696502825E-2</v>
      </c>
      <c r="Z9">
        <f t="shared" si="7"/>
        <v>4.5994519686280586E-2</v>
      </c>
    </row>
    <row r="10" spans="1:26" ht="18" customHeight="1" x14ac:dyDescent="0.25">
      <c r="A10">
        <v>180</v>
      </c>
      <c r="B10">
        <f t="shared" si="5"/>
        <v>0.33495993975885263</v>
      </c>
      <c r="C10">
        <f t="shared" si="0"/>
        <v>5.5469831327583888E-2</v>
      </c>
      <c r="D10" s="26">
        <v>1.7637972918011682</v>
      </c>
      <c r="E10" s="26">
        <v>9.7837538272260063E-2</v>
      </c>
      <c r="F10" s="26">
        <f t="shared" si="1"/>
        <v>0.19410688937462228</v>
      </c>
      <c r="G10" s="26">
        <f t="shared" si="2"/>
        <v>1.9579041811757905</v>
      </c>
      <c r="H10" s="26">
        <f t="shared" si="3"/>
        <v>1.5696904024265459</v>
      </c>
      <c r="I10" s="26">
        <f t="shared" si="4"/>
        <v>0.26177190505499126</v>
      </c>
      <c r="J10" s="26">
        <f t="shared" si="4"/>
        <v>0.408147974462714</v>
      </c>
      <c r="K10" s="20" t="s">
        <v>14</v>
      </c>
      <c r="L10" s="25" t="s">
        <v>13</v>
      </c>
      <c r="M10">
        <v>2019</v>
      </c>
      <c r="N10">
        <v>100</v>
      </c>
      <c r="O10">
        <v>180</v>
      </c>
      <c r="P10" s="24">
        <v>80</v>
      </c>
      <c r="R10" s="24">
        <v>2018</v>
      </c>
      <c r="S10" s="25" t="s">
        <v>12</v>
      </c>
      <c r="T10" s="25" t="s">
        <v>13</v>
      </c>
      <c r="U10" s="24">
        <v>70</v>
      </c>
      <c r="V10" s="26">
        <v>2.2643263727622074</v>
      </c>
      <c r="W10" s="26">
        <v>0.10244212695683841</v>
      </c>
      <c r="X10" s="20" t="s">
        <v>14</v>
      </c>
      <c r="Y10">
        <f t="shared" si="6"/>
        <v>0.10703394124783494</v>
      </c>
      <c r="Z10">
        <f t="shared" si="7"/>
        <v>4.5241767348172195E-2</v>
      </c>
    </row>
    <row r="11" spans="1:26" ht="18" customHeight="1" x14ac:dyDescent="0.25">
      <c r="A11">
        <v>190</v>
      </c>
      <c r="B11">
        <f t="shared" si="5"/>
        <v>0.40081989633284187</v>
      </c>
      <c r="C11">
        <f t="shared" si="0"/>
        <v>6.0419931960977523E-2</v>
      </c>
      <c r="D11" s="26">
        <v>1.5891256893096986</v>
      </c>
      <c r="E11" s="26">
        <v>9.6014866025533496E-2</v>
      </c>
      <c r="F11" s="26">
        <f t="shared" si="1"/>
        <v>0.19049075954951344</v>
      </c>
      <c r="G11" s="26">
        <f t="shared" si="2"/>
        <v>1.7796164488592119</v>
      </c>
      <c r="H11" s="26">
        <f t="shared" si="3"/>
        <v>1.3986349297601852</v>
      </c>
      <c r="I11" s="26">
        <f t="shared" si="4"/>
        <v>0.32899532397689835</v>
      </c>
      <c r="J11" s="26">
        <f t="shared" si="4"/>
        <v>0.4726444686887854</v>
      </c>
      <c r="K11" s="20" t="s">
        <v>14</v>
      </c>
      <c r="L11" s="25" t="s">
        <v>13</v>
      </c>
      <c r="M11">
        <v>2019</v>
      </c>
      <c r="N11">
        <v>100</v>
      </c>
      <c r="O11">
        <v>190</v>
      </c>
      <c r="P11" s="24">
        <v>90</v>
      </c>
      <c r="R11" s="24">
        <v>2018</v>
      </c>
      <c r="S11" s="25" t="s">
        <v>12</v>
      </c>
      <c r="T11" s="25" t="s">
        <v>13</v>
      </c>
      <c r="U11" s="24">
        <v>80</v>
      </c>
      <c r="V11" s="26">
        <v>2.2100571851607773</v>
      </c>
      <c r="W11" s="26">
        <v>0.10403866743376744</v>
      </c>
      <c r="X11" s="20" t="s">
        <v>14</v>
      </c>
      <c r="Y11">
        <f t="shared" si="6"/>
        <v>0.12843568931165972</v>
      </c>
      <c r="Z11">
        <f t="shared" si="7"/>
        <v>4.7075102007461782E-2</v>
      </c>
    </row>
    <row r="12" spans="1:26" ht="18" customHeight="1" x14ac:dyDescent="0.25">
      <c r="A12">
        <v>200</v>
      </c>
      <c r="B12">
        <f t="shared" si="5"/>
        <v>0.4575412282294351</v>
      </c>
      <c r="C12">
        <f t="shared" si="0"/>
        <v>6.8981916248183978E-2</v>
      </c>
      <c r="D12" s="26">
        <v>1.4386912454804206</v>
      </c>
      <c r="E12" s="26">
        <v>9.9243679002725876E-2</v>
      </c>
      <c r="F12" s="26">
        <f t="shared" si="1"/>
        <v>0.19689663253490236</v>
      </c>
      <c r="G12" s="26">
        <f t="shared" si="2"/>
        <v>1.635587878015323</v>
      </c>
      <c r="H12" s="26">
        <f t="shared" si="3"/>
        <v>1.2417946129455182</v>
      </c>
      <c r="I12" s="26">
        <f t="shared" si="4"/>
        <v>0.38330132040614329</v>
      </c>
      <c r="J12" s="26">
        <f t="shared" si="4"/>
        <v>0.53178113605272703</v>
      </c>
      <c r="K12" s="20" t="s">
        <v>14</v>
      </c>
      <c r="L12" s="25" t="s">
        <v>13</v>
      </c>
      <c r="M12">
        <v>2019</v>
      </c>
      <c r="N12">
        <v>100</v>
      </c>
      <c r="O12">
        <v>200</v>
      </c>
      <c r="P12" s="24">
        <v>100</v>
      </c>
      <c r="R12" s="24">
        <v>2018</v>
      </c>
      <c r="S12" s="25" t="s">
        <v>12</v>
      </c>
      <c r="T12" s="25" t="s">
        <v>13</v>
      </c>
      <c r="U12" s="24">
        <v>90</v>
      </c>
      <c r="V12" s="26">
        <v>2.1322820492648238</v>
      </c>
      <c r="W12" s="26">
        <v>0.10229222278361647</v>
      </c>
      <c r="X12" s="20" t="s">
        <v>14</v>
      </c>
      <c r="Y12">
        <f t="shared" si="6"/>
        <v>0.15910730865300149</v>
      </c>
      <c r="Z12">
        <f t="shared" si="7"/>
        <v>4.7973120075219484E-2</v>
      </c>
    </row>
    <row r="13" spans="1:26" ht="18" customHeight="1" x14ac:dyDescent="0.25">
      <c r="A13">
        <v>210</v>
      </c>
      <c r="B13">
        <f t="shared" si="5"/>
        <v>0.49918487848196302</v>
      </c>
      <c r="C13">
        <f t="shared" si="0"/>
        <v>7.4948112844313422E-2</v>
      </c>
      <c r="D13" s="26">
        <v>1.3282453311252915</v>
      </c>
      <c r="E13" s="26">
        <v>9.954948096211079E-2</v>
      </c>
      <c r="F13" s="26">
        <f t="shared" si="1"/>
        <v>0.19750333491263072</v>
      </c>
      <c r="G13" s="26">
        <f t="shared" si="2"/>
        <v>1.5257486660379223</v>
      </c>
      <c r="H13" s="26">
        <f t="shared" si="3"/>
        <v>1.1307419962126608</v>
      </c>
      <c r="I13" s="26">
        <f t="shared" si="4"/>
        <v>0.42471621342692545</v>
      </c>
      <c r="J13" s="26">
        <f t="shared" si="4"/>
        <v>0.57365354353700049</v>
      </c>
      <c r="K13" s="20" t="s">
        <v>14</v>
      </c>
      <c r="L13" s="25" t="s">
        <v>13</v>
      </c>
      <c r="M13">
        <v>2019</v>
      </c>
      <c r="N13">
        <v>100</v>
      </c>
      <c r="O13">
        <v>210</v>
      </c>
      <c r="P13" s="24">
        <v>110</v>
      </c>
      <c r="R13" s="24">
        <v>2018</v>
      </c>
      <c r="S13" s="25" t="s">
        <v>12</v>
      </c>
      <c r="T13" s="25" t="s">
        <v>13</v>
      </c>
      <c r="U13" s="24">
        <v>100</v>
      </c>
      <c r="V13" s="26">
        <v>2.0272156634382736</v>
      </c>
      <c r="W13" s="26">
        <v>0.10556232583293841</v>
      </c>
      <c r="X13" s="20" t="s">
        <v>14</v>
      </c>
      <c r="Y13">
        <f t="shared" si="6"/>
        <v>0.20054158137421652</v>
      </c>
      <c r="Z13">
        <f t="shared" si="7"/>
        <v>5.2072568171606701E-2</v>
      </c>
    </row>
    <row r="14" spans="1:26" ht="18" customHeight="1" x14ac:dyDescent="0.25">
      <c r="A14">
        <v>220</v>
      </c>
      <c r="B14">
        <f t="shared" si="5"/>
        <v>0.52881457609492966</v>
      </c>
      <c r="C14">
        <f t="shared" si="0"/>
        <v>8.491001218908012E-2</v>
      </c>
      <c r="D14" s="26">
        <v>1.2496624253260706</v>
      </c>
      <c r="E14" s="26">
        <v>0.10610885176667209</v>
      </c>
      <c r="F14" s="26">
        <f t="shared" si="1"/>
        <v>0.21051693976831529</v>
      </c>
      <c r="G14" s="26">
        <f t="shared" si="2"/>
        <v>1.460179365094386</v>
      </c>
      <c r="H14" s="26">
        <f t="shared" si="3"/>
        <v>1.0391454855577553</v>
      </c>
      <c r="I14" s="26">
        <f t="shared" si="4"/>
        <v>0.44943912917929585</v>
      </c>
      <c r="J14" s="26">
        <f t="shared" si="4"/>
        <v>0.60819002301056369</v>
      </c>
      <c r="K14" s="20" t="s">
        <v>14</v>
      </c>
      <c r="L14" s="25" t="s">
        <v>13</v>
      </c>
      <c r="M14">
        <v>2019</v>
      </c>
      <c r="N14">
        <v>100</v>
      </c>
      <c r="O14">
        <v>220</v>
      </c>
      <c r="P14" s="24">
        <v>120</v>
      </c>
      <c r="R14" s="24">
        <v>2018</v>
      </c>
      <c r="S14" s="25" t="s">
        <v>12</v>
      </c>
      <c r="T14" s="25" t="s">
        <v>13</v>
      </c>
      <c r="U14" s="24">
        <v>110</v>
      </c>
      <c r="V14" s="26">
        <v>1.8822924478617793</v>
      </c>
      <c r="W14" s="26">
        <v>0.10605293628307694</v>
      </c>
      <c r="X14" s="20" t="s">
        <v>14</v>
      </c>
      <c r="Y14">
        <f t="shared" si="6"/>
        <v>0.25769390455153562</v>
      </c>
      <c r="Z14">
        <f t="shared" si="7"/>
        <v>5.6342433081293768E-2</v>
      </c>
    </row>
    <row r="15" spans="1:26" ht="18" customHeight="1" x14ac:dyDescent="0.25">
      <c r="A15">
        <v>230</v>
      </c>
      <c r="B15">
        <f t="shared" si="5"/>
        <v>0.54452515328367523</v>
      </c>
      <c r="C15">
        <f t="shared" si="0"/>
        <v>8.9891700677666123E-2</v>
      </c>
      <c r="D15" s="26">
        <v>1.2079953511830566</v>
      </c>
      <c r="E15" s="26">
        <v>0.1085887565285595</v>
      </c>
      <c r="F15" s="26">
        <f t="shared" si="1"/>
        <v>0.21543700018455084</v>
      </c>
      <c r="G15" s="26">
        <f t="shared" si="2"/>
        <v>1.4234323513676075</v>
      </c>
      <c r="H15" s="26">
        <f t="shared" si="3"/>
        <v>0.99255835099850576</v>
      </c>
      <c r="I15" s="26">
        <f t="shared" si="4"/>
        <v>0.46329459677533857</v>
      </c>
      <c r="J15" s="26">
        <f t="shared" si="4"/>
        <v>0.62575570979201167</v>
      </c>
      <c r="K15" s="20" t="s">
        <v>14</v>
      </c>
      <c r="L15" s="25" t="s">
        <v>13</v>
      </c>
      <c r="M15">
        <v>2019</v>
      </c>
      <c r="N15">
        <v>100</v>
      </c>
      <c r="O15">
        <v>230</v>
      </c>
      <c r="P15" s="24">
        <v>130</v>
      </c>
      <c r="R15" s="24">
        <v>2018</v>
      </c>
      <c r="S15" s="25" t="s">
        <v>12</v>
      </c>
      <c r="T15" s="25" t="s">
        <v>13</v>
      </c>
      <c r="U15" s="24">
        <v>120</v>
      </c>
      <c r="V15" s="26">
        <v>1.7179303218506634</v>
      </c>
      <c r="W15" s="26">
        <v>0.11275741669631612</v>
      </c>
      <c r="X15" s="20" t="s">
        <v>14</v>
      </c>
      <c r="Y15">
        <f t="shared" si="6"/>
        <v>0.32251221062162361</v>
      </c>
      <c r="Z15">
        <f t="shared" si="7"/>
        <v>6.5635617034133661E-2</v>
      </c>
    </row>
    <row r="16" spans="1:26" ht="18" customHeight="1" x14ac:dyDescent="0.25">
      <c r="A16">
        <v>240</v>
      </c>
      <c r="B16">
        <f t="shared" si="5"/>
        <v>0.55220451583912267</v>
      </c>
      <c r="C16">
        <f t="shared" si="0"/>
        <v>0.10024183171760614</v>
      </c>
      <c r="D16" s="26">
        <v>1.1876283993438757</v>
      </c>
      <c r="E16" s="26">
        <v>0.11905004615007873</v>
      </c>
      <c r="F16" s="26">
        <f t="shared" si="1"/>
        <v>0.23619190084067107</v>
      </c>
      <c r="G16" s="26">
        <f t="shared" si="2"/>
        <v>1.4238203001845466</v>
      </c>
      <c r="H16" s="26">
        <f t="shared" si="3"/>
        <v>0.95143649850320455</v>
      </c>
      <c r="I16" s="26">
        <f t="shared" si="4"/>
        <v>0.46314832060982514</v>
      </c>
      <c r="J16" s="26">
        <f t="shared" si="4"/>
        <v>0.64126071106842009</v>
      </c>
      <c r="K16" s="20" t="s">
        <v>14</v>
      </c>
      <c r="L16" s="25" t="s">
        <v>13</v>
      </c>
      <c r="M16">
        <v>2019</v>
      </c>
      <c r="N16">
        <v>100</v>
      </c>
      <c r="O16">
        <v>240</v>
      </c>
      <c r="P16" s="24">
        <v>140</v>
      </c>
      <c r="R16" s="24">
        <v>2018</v>
      </c>
      <c r="S16" s="25" t="s">
        <v>12</v>
      </c>
      <c r="T16" s="25" t="s">
        <v>13</v>
      </c>
      <c r="U16" s="24">
        <v>130</v>
      </c>
      <c r="V16" s="26">
        <v>1.5466467079519766</v>
      </c>
      <c r="W16" s="26">
        <v>0.11603349473971059</v>
      </c>
      <c r="X16" s="20" t="s">
        <v>14</v>
      </c>
      <c r="Y16">
        <f t="shared" si="6"/>
        <v>0.39006009394436059</v>
      </c>
      <c r="Z16">
        <f t="shared" si="7"/>
        <v>7.5022624199264407E-2</v>
      </c>
    </row>
    <row r="17" spans="1:26" ht="18" customHeight="1" x14ac:dyDescent="0.25">
      <c r="A17">
        <v>250</v>
      </c>
      <c r="B17">
        <f t="shared" si="5"/>
        <v>0.55555937820746337</v>
      </c>
      <c r="C17">
        <f t="shared" si="0"/>
        <v>0.12723885800047813</v>
      </c>
      <c r="D17" s="26">
        <v>1.1787307441296928</v>
      </c>
      <c r="E17" s="26">
        <v>0.14998035377311589</v>
      </c>
      <c r="F17" s="26">
        <f t="shared" si="1"/>
        <v>0.29755675022394878</v>
      </c>
      <c r="G17" s="26">
        <f t="shared" si="2"/>
        <v>1.4762874943536417</v>
      </c>
      <c r="H17" s="26">
        <f t="shared" si="3"/>
        <v>0.88117399390574402</v>
      </c>
      <c r="I17" s="26">
        <f t="shared" si="4"/>
        <v>0.44336555638113828</v>
      </c>
      <c r="J17" s="26">
        <f t="shared" si="4"/>
        <v>0.66775320003378846</v>
      </c>
      <c r="K17" s="20" t="s">
        <v>14</v>
      </c>
      <c r="L17" s="25" t="s">
        <v>13</v>
      </c>
      <c r="M17">
        <v>2019</v>
      </c>
      <c r="N17">
        <v>100</v>
      </c>
      <c r="O17">
        <v>250</v>
      </c>
      <c r="P17" s="24">
        <v>150</v>
      </c>
      <c r="R17" s="24">
        <v>2018</v>
      </c>
      <c r="S17" s="25" t="s">
        <v>12</v>
      </c>
      <c r="T17" s="25" t="s">
        <v>13</v>
      </c>
      <c r="U17" s="24">
        <v>140</v>
      </c>
      <c r="V17" s="26">
        <v>1.3738834222768608</v>
      </c>
      <c r="W17" s="26">
        <v>0.12817762407751765</v>
      </c>
      <c r="X17" s="20" t="s">
        <v>14</v>
      </c>
      <c r="Y17">
        <f t="shared" si="6"/>
        <v>0.45819150475250725</v>
      </c>
      <c r="Z17">
        <f t="shared" si="7"/>
        <v>9.3295851743444125E-2</v>
      </c>
    </row>
    <row r="18" spans="1:26" x14ac:dyDescent="0.25">
      <c r="R18" s="24">
        <v>2018</v>
      </c>
      <c r="S18" s="25" t="s">
        <v>12</v>
      </c>
      <c r="T18" s="25" t="s">
        <v>13</v>
      </c>
      <c r="U18" s="24">
        <v>150</v>
      </c>
      <c r="V18" s="26">
        <v>1.2003233902606014</v>
      </c>
      <c r="W18" s="26">
        <v>0.16101424034473155</v>
      </c>
      <c r="X18" s="20" t="s">
        <v>14</v>
      </c>
      <c r="Y18">
        <f t="shared" si="6"/>
        <v>0.52663712266817808</v>
      </c>
      <c r="Z18">
        <f>W18/V18</f>
        <v>0.13414238333702208</v>
      </c>
    </row>
    <row r="19" spans="1:26" x14ac:dyDescent="0.25">
      <c r="R19" s="24">
        <v>2018</v>
      </c>
      <c r="S19" s="25" t="s">
        <v>12</v>
      </c>
      <c r="T19" s="25" t="s">
        <v>15</v>
      </c>
      <c r="U19" s="24">
        <v>0</v>
      </c>
      <c r="V19" s="26">
        <v>2.9733964459955886</v>
      </c>
      <c r="W19" s="26">
        <v>0.16672837665579859</v>
      </c>
      <c r="X19" s="20" t="s">
        <v>14</v>
      </c>
      <c r="Y19" s="12">
        <v>0</v>
      </c>
      <c r="Z19">
        <f t="shared" ref="Z19:Z66" si="8">W19/V19</f>
        <v>5.6073375913373226E-2</v>
      </c>
    </row>
    <row r="20" spans="1:26" x14ac:dyDescent="0.25">
      <c r="R20" s="24">
        <v>2018</v>
      </c>
      <c r="S20" s="25" t="s">
        <v>12</v>
      </c>
      <c r="T20" s="25" t="s">
        <v>15</v>
      </c>
      <c r="U20" s="24">
        <v>10</v>
      </c>
      <c r="V20" s="26">
        <v>2.9206682653255394</v>
      </c>
      <c r="W20" s="26">
        <v>0.13663701374892237</v>
      </c>
      <c r="X20" s="20" t="s">
        <v>14</v>
      </c>
      <c r="Y20">
        <f>(1)-(V20/$V$19)</f>
        <v>1.7733316638977148E-2</v>
      </c>
      <c r="Z20">
        <f t="shared" si="8"/>
        <v>4.6782791243733642E-2</v>
      </c>
    </row>
    <row r="21" spans="1:26" x14ac:dyDescent="0.25">
      <c r="R21" s="24">
        <v>2018</v>
      </c>
      <c r="S21" s="25" t="s">
        <v>12</v>
      </c>
      <c r="T21" s="25" t="s">
        <v>15</v>
      </c>
      <c r="U21" s="24">
        <v>20</v>
      </c>
      <c r="V21" s="26">
        <v>2.869486301242655</v>
      </c>
      <c r="W21" s="26">
        <v>0.12433479420386515</v>
      </c>
      <c r="X21" s="20" t="s">
        <v>14</v>
      </c>
      <c r="Y21">
        <f t="shared" ref="Y21:Y34" si="9">(1)-(V21/$V$19)</f>
        <v>3.4946616315787327E-2</v>
      </c>
      <c r="Z21">
        <f t="shared" si="8"/>
        <v>4.3329983540963735E-2</v>
      </c>
    </row>
    <row r="22" spans="1:26" x14ac:dyDescent="0.25">
      <c r="R22" s="24">
        <v>2018</v>
      </c>
      <c r="S22" s="25" t="s">
        <v>12</v>
      </c>
      <c r="T22" s="25" t="s">
        <v>15</v>
      </c>
      <c r="U22" s="24">
        <v>30</v>
      </c>
      <c r="V22" s="26">
        <v>2.821175882250218</v>
      </c>
      <c r="W22" s="26">
        <v>0.12299192039369831</v>
      </c>
      <c r="X22" s="20" t="s">
        <v>14</v>
      </c>
      <c r="Y22">
        <f t="shared" si="9"/>
        <v>5.1194170205716483E-2</v>
      </c>
      <c r="Z22">
        <f t="shared" si="8"/>
        <v>4.3595977538131318E-2</v>
      </c>
    </row>
    <row r="23" spans="1:26" x14ac:dyDescent="0.25">
      <c r="R23" s="24">
        <v>2018</v>
      </c>
      <c r="S23" s="25" t="s">
        <v>12</v>
      </c>
      <c r="T23" s="25" t="s">
        <v>15</v>
      </c>
      <c r="U23" s="24">
        <v>40</v>
      </c>
      <c r="V23" s="26">
        <v>2.777765906303705</v>
      </c>
      <c r="W23" s="26">
        <v>0.11788412862737029</v>
      </c>
      <c r="X23" s="20" t="s">
        <v>14</v>
      </c>
      <c r="Y23">
        <f t="shared" si="9"/>
        <v>6.5793628009258032E-2</v>
      </c>
      <c r="Z23">
        <f t="shared" si="8"/>
        <v>4.2438467676434041E-2</v>
      </c>
    </row>
    <row r="24" spans="1:26" x14ac:dyDescent="0.25">
      <c r="R24" s="24">
        <v>2018</v>
      </c>
      <c r="S24" s="25" t="s">
        <v>12</v>
      </c>
      <c r="T24" s="25" t="s">
        <v>15</v>
      </c>
      <c r="U24" s="24">
        <v>50</v>
      </c>
      <c r="V24" s="26">
        <v>2.7414414822335988</v>
      </c>
      <c r="W24" s="26">
        <v>0.10838806305510479</v>
      </c>
      <c r="X24" s="20" t="s">
        <v>14</v>
      </c>
      <c r="Y24">
        <f t="shared" si="9"/>
        <v>7.8010103252250218E-2</v>
      </c>
      <c r="Z24">
        <f t="shared" si="8"/>
        <v>3.9536887348328602E-2</v>
      </c>
    </row>
    <row r="25" spans="1:26" x14ac:dyDescent="0.25">
      <c r="R25" s="24">
        <v>2018</v>
      </c>
      <c r="S25" s="25" t="s">
        <v>12</v>
      </c>
      <c r="T25" s="25" t="s">
        <v>15</v>
      </c>
      <c r="U25" s="24">
        <v>60</v>
      </c>
      <c r="V25" s="26">
        <v>2.7130922354293276</v>
      </c>
      <c r="W25" s="26">
        <v>0.10626905961669542</v>
      </c>
      <c r="X25" s="20" t="s">
        <v>14</v>
      </c>
      <c r="Y25">
        <f t="shared" si="9"/>
        <v>8.7544400921318322E-2</v>
      </c>
      <c r="Z25">
        <f t="shared" si="8"/>
        <v>3.9168981514511279E-2</v>
      </c>
    </row>
    <row r="26" spans="1:26" x14ac:dyDescent="0.25">
      <c r="R26" s="24">
        <v>2018</v>
      </c>
      <c r="S26" s="25" t="s">
        <v>12</v>
      </c>
      <c r="T26" s="25" t="s">
        <v>15</v>
      </c>
      <c r="U26" s="24">
        <v>70</v>
      </c>
      <c r="V26" s="26">
        <v>2.6954031708486941</v>
      </c>
      <c r="W26" s="26">
        <v>0.10244212695683803</v>
      </c>
      <c r="X26" s="20" t="s">
        <v>14</v>
      </c>
      <c r="Y26">
        <f t="shared" si="9"/>
        <v>9.34935116106973E-2</v>
      </c>
      <c r="Z26">
        <f t="shared" si="8"/>
        <v>3.8006235232179518E-2</v>
      </c>
    </row>
    <row r="27" spans="1:26" x14ac:dyDescent="0.25">
      <c r="R27" s="24">
        <v>2018</v>
      </c>
      <c r="S27" s="25" t="s">
        <v>12</v>
      </c>
      <c r="T27" s="25" t="s">
        <v>15</v>
      </c>
      <c r="U27" s="24">
        <v>80</v>
      </c>
      <c r="V27" s="26">
        <v>2.6800593484595359</v>
      </c>
      <c r="W27" s="26">
        <v>0.1040386674337672</v>
      </c>
      <c r="X27" s="20" t="s">
        <v>14</v>
      </c>
      <c r="Y27">
        <f t="shared" si="9"/>
        <v>9.865388045751633E-2</v>
      </c>
      <c r="Z27">
        <f t="shared" si="8"/>
        <v>3.8819538639533233E-2</v>
      </c>
    </row>
    <row r="28" spans="1:26" x14ac:dyDescent="0.25">
      <c r="R28" s="24">
        <v>2018</v>
      </c>
      <c r="S28" s="25" t="s">
        <v>12</v>
      </c>
      <c r="T28" s="25" t="s">
        <v>15</v>
      </c>
      <c r="U28" s="24">
        <v>90</v>
      </c>
      <c r="V28" s="26">
        <v>2.6570985586004192</v>
      </c>
      <c r="W28" s="26">
        <v>0.10229222278360543</v>
      </c>
      <c r="X28" s="20" t="s">
        <v>14</v>
      </c>
      <c r="Y28">
        <f t="shared" si="9"/>
        <v>0.10637595528882215</v>
      </c>
      <c r="Z28">
        <f t="shared" si="8"/>
        <v>3.8497714905045187E-2</v>
      </c>
    </row>
    <row r="29" spans="1:26" x14ac:dyDescent="0.25">
      <c r="R29" s="24">
        <v>2018</v>
      </c>
      <c r="S29" s="25" t="s">
        <v>12</v>
      </c>
      <c r="T29" s="25" t="s">
        <v>15</v>
      </c>
      <c r="U29" s="24">
        <v>100</v>
      </c>
      <c r="V29" s="26">
        <v>2.620762623001601</v>
      </c>
      <c r="W29" s="26">
        <v>0.10556232582098181</v>
      </c>
      <c r="X29" s="20" t="s">
        <v>14</v>
      </c>
      <c r="Y29">
        <f t="shared" si="9"/>
        <v>0.11859630204001081</v>
      </c>
      <c r="Z29">
        <f t="shared" si="8"/>
        <v>4.0279239674167668E-2</v>
      </c>
    </row>
    <row r="30" spans="1:26" x14ac:dyDescent="0.25">
      <c r="R30" s="24">
        <v>2018</v>
      </c>
      <c r="S30" s="25" t="s">
        <v>12</v>
      </c>
      <c r="T30" s="25" t="s">
        <v>15</v>
      </c>
      <c r="U30" s="24">
        <v>110</v>
      </c>
      <c r="V30" s="26">
        <v>2.5620156158480754</v>
      </c>
      <c r="W30" s="26">
        <v>0.10605293628307734</v>
      </c>
      <c r="X30" s="20" t="s">
        <v>14</v>
      </c>
      <c r="Y30">
        <f t="shared" si="9"/>
        <v>0.13835384470898215</v>
      </c>
      <c r="Z30">
        <f t="shared" si="8"/>
        <v>4.13943364072634E-2</v>
      </c>
    </row>
    <row r="31" spans="1:26" x14ac:dyDescent="0.25">
      <c r="R31" s="24">
        <v>2018</v>
      </c>
      <c r="S31" s="25" t="s">
        <v>12</v>
      </c>
      <c r="T31" s="25" t="s">
        <v>15</v>
      </c>
      <c r="U31" s="24">
        <v>120</v>
      </c>
      <c r="V31" s="26">
        <v>2.4918259947446324</v>
      </c>
      <c r="W31" s="26">
        <v>0.1127574166963157</v>
      </c>
      <c r="X31" s="20" t="s">
        <v>14</v>
      </c>
      <c r="Y31">
        <f t="shared" si="9"/>
        <v>0.16195971845581159</v>
      </c>
      <c r="Z31">
        <f t="shared" si="8"/>
        <v>4.5250919178998018E-2</v>
      </c>
    </row>
    <row r="32" spans="1:26" x14ac:dyDescent="0.25">
      <c r="R32" s="24">
        <v>2018</v>
      </c>
      <c r="S32" s="25" t="s">
        <v>12</v>
      </c>
      <c r="T32" s="25" t="s">
        <v>15</v>
      </c>
      <c r="U32" s="24">
        <v>130</v>
      </c>
      <c r="V32" s="26">
        <v>2.4170925850885498</v>
      </c>
      <c r="W32" s="26">
        <v>0.11603349473971057</v>
      </c>
      <c r="X32" s="20" t="s">
        <v>14</v>
      </c>
      <c r="Y32">
        <f t="shared" si="9"/>
        <v>0.18709373977231969</v>
      </c>
      <c r="Z32">
        <f t="shared" si="8"/>
        <v>4.8005399319637439E-2</v>
      </c>
    </row>
    <row r="33" spans="18:26" x14ac:dyDescent="0.25">
      <c r="R33" s="24">
        <v>2018</v>
      </c>
      <c r="S33" s="25" t="s">
        <v>12</v>
      </c>
      <c r="T33" s="25" t="s">
        <v>15</v>
      </c>
      <c r="U33" s="24">
        <v>140</v>
      </c>
      <c r="V33" s="26">
        <v>2.3411416231601296</v>
      </c>
      <c r="W33" s="26">
        <v>0.12817762407751729</v>
      </c>
      <c r="X33" s="20" t="s">
        <v>14</v>
      </c>
      <c r="Y33">
        <f t="shared" si="9"/>
        <v>0.21263724307162135</v>
      </c>
      <c r="Z33">
        <f t="shared" si="8"/>
        <v>5.4750051346530687E-2</v>
      </c>
    </row>
    <row r="34" spans="18:26" x14ac:dyDescent="0.25">
      <c r="R34" s="24">
        <v>2018</v>
      </c>
      <c r="S34" s="25" t="s">
        <v>12</v>
      </c>
      <c r="T34" s="25" t="s">
        <v>15</v>
      </c>
      <c r="U34" s="24">
        <v>150</v>
      </c>
      <c r="V34" s="26">
        <v>2.2645350561620026</v>
      </c>
      <c r="W34" s="26">
        <v>0.16101424034474437</v>
      </c>
      <c r="X34" s="20" t="s">
        <v>14</v>
      </c>
      <c r="Y34">
        <f t="shared" si="9"/>
        <v>0.23840123666934576</v>
      </c>
      <c r="Z34">
        <f t="shared" si="8"/>
        <v>7.1102560283449898E-2</v>
      </c>
    </row>
    <row r="35" spans="18:26" x14ac:dyDescent="0.25">
      <c r="R35" s="24">
        <v>2019</v>
      </c>
      <c r="S35" s="25" t="s">
        <v>12</v>
      </c>
      <c r="T35" s="25" t="s">
        <v>13</v>
      </c>
      <c r="U35" s="24">
        <v>0</v>
      </c>
      <c r="V35" s="26">
        <v>2.6521669854919794</v>
      </c>
      <c r="W35" s="26">
        <v>0.15504076422123445</v>
      </c>
      <c r="X35" t="s">
        <v>16</v>
      </c>
      <c r="Y35" s="12">
        <v>0</v>
      </c>
      <c r="Z35">
        <f t="shared" si="8"/>
        <v>5.8458145761313834E-2</v>
      </c>
    </row>
    <row r="36" spans="18:26" x14ac:dyDescent="0.25">
      <c r="R36" s="24">
        <v>2019</v>
      </c>
      <c r="S36" s="25" t="s">
        <v>12</v>
      </c>
      <c r="T36" s="25" t="s">
        <v>13</v>
      </c>
      <c r="U36" s="24">
        <v>10</v>
      </c>
      <c r="V36" s="26">
        <v>2.6109390033512154</v>
      </c>
      <c r="W36" s="26">
        <v>0.12686053527554941</v>
      </c>
      <c r="X36" t="s">
        <v>16</v>
      </c>
      <c r="Y36">
        <f>(1)-(V36/$V$35)</f>
        <v>1.5545017476761958E-2</v>
      </c>
      <c r="Z36">
        <f t="shared" si="8"/>
        <v>4.858808846653264E-2</v>
      </c>
    </row>
    <row r="37" spans="18:26" x14ac:dyDescent="0.25">
      <c r="R37" s="24">
        <v>2019</v>
      </c>
      <c r="S37" s="25" t="s">
        <v>12</v>
      </c>
      <c r="T37" s="25" t="s">
        <v>13</v>
      </c>
      <c r="U37" s="24">
        <v>20</v>
      </c>
      <c r="V37" s="26">
        <v>2.561885546386907</v>
      </c>
      <c r="W37" s="26">
        <v>0.11627523578691802</v>
      </c>
      <c r="X37" t="s">
        <v>16</v>
      </c>
      <c r="Y37">
        <f t="shared" ref="Y37:Y50" si="10">(1)-(V37/$V$35)</f>
        <v>3.4040631528457488E-2</v>
      </c>
      <c r="Z37">
        <f t="shared" si="8"/>
        <v>4.5386584873357817E-2</v>
      </c>
    </row>
    <row r="38" spans="18:26" x14ac:dyDescent="0.25">
      <c r="R38" s="24">
        <v>2019</v>
      </c>
      <c r="S38" s="25" t="s">
        <v>12</v>
      </c>
      <c r="T38" s="25" t="s">
        <v>13</v>
      </c>
      <c r="U38" s="24">
        <v>30</v>
      </c>
      <c r="V38" s="26">
        <v>2.4982990647502819</v>
      </c>
      <c r="W38" s="26">
        <v>0.11594281717709821</v>
      </c>
      <c r="X38" t="s">
        <v>16</v>
      </c>
      <c r="Y38">
        <f t="shared" si="10"/>
        <v>5.801592493360852E-2</v>
      </c>
      <c r="Z38">
        <f t="shared" si="8"/>
        <v>4.6408702149791384E-2</v>
      </c>
    </row>
    <row r="39" spans="18:26" x14ac:dyDescent="0.25">
      <c r="R39" s="24">
        <v>2019</v>
      </c>
      <c r="S39" s="25" t="s">
        <v>12</v>
      </c>
      <c r="T39" s="25" t="s">
        <v>13</v>
      </c>
      <c r="U39" s="24">
        <v>40</v>
      </c>
      <c r="V39" s="26">
        <v>2.4099112105255625</v>
      </c>
      <c r="W39" s="26">
        <v>0.11106131038764014</v>
      </c>
      <c r="X39" t="s">
        <v>16</v>
      </c>
      <c r="Y39">
        <f t="shared" si="10"/>
        <v>9.1342579970121407E-2</v>
      </c>
      <c r="Z39">
        <f t="shared" si="8"/>
        <v>4.6085229158056601E-2</v>
      </c>
    </row>
    <row r="40" spans="18:26" x14ac:dyDescent="0.25">
      <c r="R40" s="24">
        <v>2019</v>
      </c>
      <c r="S40" s="25" t="s">
        <v>12</v>
      </c>
      <c r="T40" s="25" t="s">
        <v>13</v>
      </c>
      <c r="U40" s="24">
        <v>50</v>
      </c>
      <c r="V40" s="26">
        <v>2.2886830764830139</v>
      </c>
      <c r="W40" s="26">
        <v>0.10161496661989701</v>
      </c>
      <c r="X40" t="s">
        <v>16</v>
      </c>
      <c r="Y40">
        <f t="shared" si="10"/>
        <v>0.13705166793694135</v>
      </c>
      <c r="Z40">
        <f t="shared" si="8"/>
        <v>4.439888058946425E-2</v>
      </c>
    </row>
    <row r="41" spans="18:26" x14ac:dyDescent="0.25">
      <c r="R41" s="24">
        <v>2019</v>
      </c>
      <c r="S41" s="25" t="s">
        <v>12</v>
      </c>
      <c r="T41" s="25" t="s">
        <v>13</v>
      </c>
      <c r="U41" s="24">
        <v>60</v>
      </c>
      <c r="V41" s="26">
        <v>2.1382327552293625</v>
      </c>
      <c r="W41" s="26">
        <v>9.9789406709393513E-2</v>
      </c>
      <c r="X41" t="s">
        <v>16</v>
      </c>
      <c r="Y41">
        <f t="shared" si="10"/>
        <v>0.19377898641901747</v>
      </c>
      <c r="Z41">
        <f t="shared" si="8"/>
        <v>4.6669103943592603E-2</v>
      </c>
    </row>
    <row r="42" spans="18:26" x14ac:dyDescent="0.25">
      <c r="R42" s="24">
        <v>2019</v>
      </c>
      <c r="S42" s="25" t="s">
        <v>12</v>
      </c>
      <c r="T42" s="25" t="s">
        <v>13</v>
      </c>
      <c r="U42" s="24">
        <v>70</v>
      </c>
      <c r="V42" s="26">
        <v>1.9549231489225503</v>
      </c>
      <c r="W42" s="26">
        <v>9.610230218892489E-2</v>
      </c>
      <c r="X42" t="s">
        <v>16</v>
      </c>
      <c r="Y42">
        <f t="shared" si="10"/>
        <v>0.26289590375852212</v>
      </c>
      <c r="Z42">
        <f t="shared" si="8"/>
        <v>4.9159120266129834E-2</v>
      </c>
    </row>
    <row r="43" spans="18:26" x14ac:dyDescent="0.25">
      <c r="R43" s="24">
        <v>2019</v>
      </c>
      <c r="S43" s="25" t="s">
        <v>12</v>
      </c>
      <c r="T43" s="25" t="s">
        <v>13</v>
      </c>
      <c r="U43" s="24">
        <v>80</v>
      </c>
      <c r="V43" s="26">
        <v>1.7637972918011682</v>
      </c>
      <c r="W43" s="26">
        <v>9.7837538272260063E-2</v>
      </c>
      <c r="X43" t="s">
        <v>16</v>
      </c>
      <c r="Y43">
        <f t="shared" si="10"/>
        <v>0.33495993975885263</v>
      </c>
      <c r="Z43">
        <f t="shared" si="8"/>
        <v>5.5469831327583888E-2</v>
      </c>
    </row>
    <row r="44" spans="18:26" x14ac:dyDescent="0.25">
      <c r="R44" s="24">
        <v>2019</v>
      </c>
      <c r="S44" s="25" t="s">
        <v>12</v>
      </c>
      <c r="T44" s="25" t="s">
        <v>13</v>
      </c>
      <c r="U44" s="24">
        <v>90</v>
      </c>
      <c r="V44" s="26">
        <v>1.5891256893096986</v>
      </c>
      <c r="W44" s="26">
        <v>9.6014866025533496E-2</v>
      </c>
      <c r="X44" t="s">
        <v>16</v>
      </c>
      <c r="Y44">
        <f t="shared" si="10"/>
        <v>0.40081989633284187</v>
      </c>
      <c r="Z44">
        <f t="shared" si="8"/>
        <v>6.0419931960977523E-2</v>
      </c>
    </row>
    <row r="45" spans="18:26" x14ac:dyDescent="0.25">
      <c r="R45" s="24">
        <v>2019</v>
      </c>
      <c r="S45" s="25" t="s">
        <v>12</v>
      </c>
      <c r="T45" s="25" t="s">
        <v>13</v>
      </c>
      <c r="U45" s="24">
        <v>100</v>
      </c>
      <c r="V45" s="26">
        <v>1.4386912454804206</v>
      </c>
      <c r="W45" s="26">
        <v>9.9243679002725876E-2</v>
      </c>
      <c r="X45" t="s">
        <v>16</v>
      </c>
      <c r="Y45">
        <f t="shared" si="10"/>
        <v>0.4575412282294351</v>
      </c>
      <c r="Z45">
        <f t="shared" si="8"/>
        <v>6.8981916248183978E-2</v>
      </c>
    </row>
    <row r="46" spans="18:26" x14ac:dyDescent="0.25">
      <c r="R46" s="24">
        <v>2019</v>
      </c>
      <c r="S46" s="25" t="s">
        <v>12</v>
      </c>
      <c r="T46" s="25" t="s">
        <v>13</v>
      </c>
      <c r="U46" s="24">
        <v>110</v>
      </c>
      <c r="V46" s="26">
        <v>1.3282453311252915</v>
      </c>
      <c r="W46" s="26">
        <v>9.954948096211079E-2</v>
      </c>
      <c r="X46" t="s">
        <v>16</v>
      </c>
      <c r="Y46">
        <f t="shared" si="10"/>
        <v>0.49918487848196302</v>
      </c>
      <c r="Z46">
        <f t="shared" si="8"/>
        <v>7.4948112844313422E-2</v>
      </c>
    </row>
    <row r="47" spans="18:26" x14ac:dyDescent="0.25">
      <c r="R47" s="24">
        <v>2019</v>
      </c>
      <c r="S47" s="25" t="s">
        <v>12</v>
      </c>
      <c r="T47" s="25" t="s">
        <v>13</v>
      </c>
      <c r="U47" s="24">
        <v>120</v>
      </c>
      <c r="V47" s="26">
        <v>1.2496624253260706</v>
      </c>
      <c r="W47" s="26">
        <v>0.10610885176667209</v>
      </c>
      <c r="X47" t="s">
        <v>16</v>
      </c>
      <c r="Y47">
        <f t="shared" si="10"/>
        <v>0.52881457609492966</v>
      </c>
      <c r="Z47">
        <f t="shared" si="8"/>
        <v>8.491001218908012E-2</v>
      </c>
    </row>
    <row r="48" spans="18:26" x14ac:dyDescent="0.25">
      <c r="R48" s="24">
        <v>2019</v>
      </c>
      <c r="S48" s="25" t="s">
        <v>12</v>
      </c>
      <c r="T48" s="25" t="s">
        <v>13</v>
      </c>
      <c r="U48" s="24">
        <v>130</v>
      </c>
      <c r="V48" s="26">
        <v>1.2079953511830566</v>
      </c>
      <c r="W48" s="26">
        <v>0.1085887565285595</v>
      </c>
      <c r="X48" t="s">
        <v>16</v>
      </c>
      <c r="Y48">
        <f t="shared" si="10"/>
        <v>0.54452515328367523</v>
      </c>
      <c r="Z48">
        <f t="shared" si="8"/>
        <v>8.9891700677666123E-2</v>
      </c>
    </row>
    <row r="49" spans="18:26" x14ac:dyDescent="0.25">
      <c r="R49" s="24">
        <v>2019</v>
      </c>
      <c r="S49" s="25" t="s">
        <v>12</v>
      </c>
      <c r="T49" s="25" t="s">
        <v>13</v>
      </c>
      <c r="U49" s="24">
        <v>140</v>
      </c>
      <c r="V49" s="26">
        <v>1.1876283993438757</v>
      </c>
      <c r="W49" s="26">
        <v>0.11905004615007873</v>
      </c>
      <c r="X49" t="s">
        <v>16</v>
      </c>
      <c r="Y49">
        <f t="shared" si="10"/>
        <v>0.55220451583912267</v>
      </c>
      <c r="Z49">
        <f t="shared" si="8"/>
        <v>0.10024183171760614</v>
      </c>
    </row>
    <row r="50" spans="18:26" x14ac:dyDescent="0.25">
      <c r="R50" s="24">
        <v>2019</v>
      </c>
      <c r="S50" s="25" t="s">
        <v>12</v>
      </c>
      <c r="T50" s="25" t="s">
        <v>13</v>
      </c>
      <c r="U50" s="24">
        <v>150</v>
      </c>
      <c r="V50" s="26">
        <v>1.1787307441296928</v>
      </c>
      <c r="W50" s="26">
        <v>0.14998035377311589</v>
      </c>
      <c r="X50" t="s">
        <v>16</v>
      </c>
      <c r="Y50">
        <f t="shared" si="10"/>
        <v>0.55555937820746337</v>
      </c>
      <c r="Z50">
        <f t="shared" si="8"/>
        <v>0.12723885800047813</v>
      </c>
    </row>
    <row r="51" spans="18:26" x14ac:dyDescent="0.25">
      <c r="R51" s="24">
        <v>2019</v>
      </c>
      <c r="S51" s="25" t="s">
        <v>12</v>
      </c>
      <c r="T51" s="25" t="s">
        <v>15</v>
      </c>
      <c r="U51" s="24">
        <v>0</v>
      </c>
      <c r="V51" s="26">
        <v>2.4495123922279052</v>
      </c>
      <c r="W51" s="26">
        <v>0.15504076422123514</v>
      </c>
      <c r="X51" t="s">
        <v>16</v>
      </c>
      <c r="Y51" s="12">
        <v>0</v>
      </c>
      <c r="Z51">
        <f t="shared" si="8"/>
        <v>6.3294541686405151E-2</v>
      </c>
    </row>
    <row r="52" spans="18:26" x14ac:dyDescent="0.25">
      <c r="R52" s="24">
        <v>2019</v>
      </c>
      <c r="S52" s="25" t="s">
        <v>12</v>
      </c>
      <c r="T52" s="25" t="s">
        <v>15</v>
      </c>
      <c r="U52" s="24">
        <v>10</v>
      </c>
      <c r="V52" s="26">
        <v>2.5472314324786232</v>
      </c>
      <c r="W52" s="26">
        <v>0.12686053526171118</v>
      </c>
      <c r="X52" t="s">
        <v>16</v>
      </c>
      <c r="Y52" s="20">
        <f>(1)-(V52/$V$51)</f>
        <v>-3.9893262251202488E-2</v>
      </c>
      <c r="Z52">
        <f t="shared" si="8"/>
        <v>4.9803301594102727E-2</v>
      </c>
    </row>
    <row r="53" spans="18:26" x14ac:dyDescent="0.25">
      <c r="R53" s="24">
        <v>2019</v>
      </c>
      <c r="S53" s="25" t="s">
        <v>12</v>
      </c>
      <c r="T53" s="25" t="s">
        <v>15</v>
      </c>
      <c r="U53" s="24">
        <v>20</v>
      </c>
      <c r="V53" s="26">
        <v>2.6337940165775948</v>
      </c>
      <c r="W53" s="26">
        <v>0.11627523578639512</v>
      </c>
      <c r="X53" t="s">
        <v>16</v>
      </c>
      <c r="Y53" s="20">
        <f t="shared" ref="Y53:Y66" si="11">(1)-(V53/$V$51)</f>
        <v>-7.5231962465019508E-2</v>
      </c>
      <c r="Z53">
        <f t="shared" si="8"/>
        <v>4.4147429546326299E-2</v>
      </c>
    </row>
    <row r="54" spans="18:26" x14ac:dyDescent="0.25">
      <c r="R54" s="24">
        <v>2019</v>
      </c>
      <c r="S54" s="25" t="s">
        <v>12</v>
      </c>
      <c r="T54" s="25" t="s">
        <v>15</v>
      </c>
      <c r="U54" s="24">
        <v>30</v>
      </c>
      <c r="V54" s="26">
        <v>2.6996374678232944</v>
      </c>
      <c r="W54" s="26">
        <v>0.11594281717709808</v>
      </c>
      <c r="X54" t="s">
        <v>16</v>
      </c>
      <c r="Y54" s="20">
        <f t="shared" si="11"/>
        <v>-0.10211219032368035</v>
      </c>
      <c r="Z54">
        <f t="shared" si="8"/>
        <v>4.2947550757836475E-2</v>
      </c>
    </row>
    <row r="55" spans="18:26" x14ac:dyDescent="0.25">
      <c r="R55" s="24">
        <v>2019</v>
      </c>
      <c r="S55" s="25" t="s">
        <v>12</v>
      </c>
      <c r="T55" s="25" t="s">
        <v>15</v>
      </c>
      <c r="U55" s="24">
        <v>40</v>
      </c>
      <c r="V55" s="26">
        <v>2.730122626822022</v>
      </c>
      <c r="W55" s="26">
        <v>0.11106131038764055</v>
      </c>
      <c r="X55" t="s">
        <v>16</v>
      </c>
      <c r="Y55" s="20">
        <f t="shared" si="11"/>
        <v>-0.11455758929184001</v>
      </c>
      <c r="Z55">
        <f t="shared" si="8"/>
        <v>4.0679971403673035E-2</v>
      </c>
    </row>
    <row r="56" spans="18:26" x14ac:dyDescent="0.25">
      <c r="R56" s="24">
        <v>2019</v>
      </c>
      <c r="S56" s="25" t="s">
        <v>12</v>
      </c>
      <c r="T56" s="25" t="s">
        <v>15</v>
      </c>
      <c r="U56" s="24">
        <v>50</v>
      </c>
      <c r="V56" s="26">
        <v>2.7128875286061449</v>
      </c>
      <c r="W56" s="26">
        <v>0.10161496661989737</v>
      </c>
      <c r="X56" t="s">
        <v>16</v>
      </c>
      <c r="Y56" s="20">
        <f t="shared" si="11"/>
        <v>-0.10752145496953047</v>
      </c>
      <c r="Z56">
        <f t="shared" si="8"/>
        <v>3.7456387538522894E-2</v>
      </c>
    </row>
    <row r="57" spans="18:26" x14ac:dyDescent="0.25">
      <c r="R57" s="24">
        <v>2019</v>
      </c>
      <c r="S57" s="25" t="s">
        <v>12</v>
      </c>
      <c r="T57" s="25" t="s">
        <v>15</v>
      </c>
      <c r="U57" s="24">
        <v>60</v>
      </c>
      <c r="V57" s="26">
        <v>2.650667038919035</v>
      </c>
      <c r="W57" s="26">
        <v>9.9789406709393819E-2</v>
      </c>
      <c r="X57" t="s">
        <v>16</v>
      </c>
      <c r="Y57" s="20">
        <f t="shared" si="11"/>
        <v>-8.2120281297362041E-2</v>
      </c>
      <c r="Z57">
        <f t="shared" si="8"/>
        <v>3.7646903682813669E-2</v>
      </c>
    </row>
    <row r="58" spans="18:26" x14ac:dyDescent="0.25">
      <c r="R58" s="24">
        <v>2019</v>
      </c>
      <c r="S58" s="25" t="s">
        <v>12</v>
      </c>
      <c r="T58" s="25" t="s">
        <v>15</v>
      </c>
      <c r="U58" s="24">
        <v>70</v>
      </c>
      <c r="V58" s="26">
        <v>2.5299322274395477</v>
      </c>
      <c r="W58" s="26">
        <v>9.610230218892514E-2</v>
      </c>
      <c r="X58" t="s">
        <v>16</v>
      </c>
      <c r="Y58" s="20">
        <f t="shared" si="11"/>
        <v>-3.2830956669910316E-2</v>
      </c>
      <c r="Z58">
        <f t="shared" si="8"/>
        <v>3.7986117235316925E-2</v>
      </c>
    </row>
    <row r="59" spans="18:26" x14ac:dyDescent="0.25">
      <c r="R59" s="24">
        <v>2019</v>
      </c>
      <c r="S59" s="25" t="s">
        <v>12</v>
      </c>
      <c r="T59" s="25" t="s">
        <v>15</v>
      </c>
      <c r="U59" s="24">
        <v>80</v>
      </c>
      <c r="V59" s="26">
        <v>2.3770209514080309</v>
      </c>
      <c r="W59" s="26">
        <v>9.7837538272260202E-2</v>
      </c>
      <c r="X59" t="s">
        <v>16</v>
      </c>
      <c r="Y59">
        <f t="shared" si="11"/>
        <v>2.9594233142025916E-2</v>
      </c>
      <c r="Z59">
        <f t="shared" si="8"/>
        <v>4.1159729035752095E-2</v>
      </c>
    </row>
    <row r="60" spans="18:26" x14ac:dyDescent="0.25">
      <c r="R60" s="24">
        <v>2019</v>
      </c>
      <c r="S60" s="25" t="s">
        <v>12</v>
      </c>
      <c r="T60" s="25" t="s">
        <v>15</v>
      </c>
      <c r="U60" s="24">
        <v>90</v>
      </c>
      <c r="V60" s="26">
        <v>2.2068587458004356</v>
      </c>
      <c r="W60" s="26">
        <v>9.6014866025533552E-2</v>
      </c>
      <c r="X60" t="s">
        <v>16</v>
      </c>
      <c r="Y60">
        <f t="shared" si="11"/>
        <v>9.9062020342248092E-2</v>
      </c>
      <c r="Z60">
        <f t="shared" si="8"/>
        <v>4.3507481486183032E-2</v>
      </c>
    </row>
    <row r="61" spans="18:26" x14ac:dyDescent="0.25">
      <c r="R61" s="24">
        <v>2019</v>
      </c>
      <c r="S61" s="25" t="s">
        <v>12</v>
      </c>
      <c r="T61" s="25" t="s">
        <v>15</v>
      </c>
      <c r="U61" s="24">
        <v>100</v>
      </c>
      <c r="V61" s="26">
        <v>2.0409629096331385</v>
      </c>
      <c r="W61" s="26">
        <v>9.9243679002725071E-2</v>
      </c>
      <c r="X61" t="s">
        <v>16</v>
      </c>
      <c r="Y61">
        <f t="shared" si="11"/>
        <v>0.16678808561698222</v>
      </c>
      <c r="Z61">
        <f t="shared" si="8"/>
        <v>4.8625910120318673E-2</v>
      </c>
    </row>
    <row r="62" spans="18:26" x14ac:dyDescent="0.25">
      <c r="R62" s="24">
        <v>2019</v>
      </c>
      <c r="S62" s="25" t="s">
        <v>12</v>
      </c>
      <c r="T62" s="25" t="s">
        <v>15</v>
      </c>
      <c r="U62" s="24">
        <v>110</v>
      </c>
      <c r="V62" s="26">
        <v>1.9006295034688478</v>
      </c>
      <c r="W62" s="26">
        <v>9.9549480962110443E-2</v>
      </c>
      <c r="X62" t="s">
        <v>16</v>
      </c>
      <c r="Y62">
        <f t="shared" si="11"/>
        <v>0.22407842903780206</v>
      </c>
      <c r="Z62">
        <f t="shared" si="8"/>
        <v>5.2377110205025341E-2</v>
      </c>
    </row>
    <row r="63" spans="18:26" x14ac:dyDescent="0.25">
      <c r="R63" s="24">
        <v>2019</v>
      </c>
      <c r="S63" s="25" t="s">
        <v>12</v>
      </c>
      <c r="T63" s="25" t="s">
        <v>15</v>
      </c>
      <c r="U63" s="24">
        <v>120</v>
      </c>
      <c r="V63" s="26">
        <v>1.7875552582117402</v>
      </c>
      <c r="W63" s="26">
        <v>0.10610885175876328</v>
      </c>
      <c r="X63" t="s">
        <v>16</v>
      </c>
      <c r="Y63">
        <f t="shared" si="11"/>
        <v>0.27024036951864328</v>
      </c>
      <c r="Z63">
        <f t="shared" si="8"/>
        <v>5.9359760360591006E-2</v>
      </c>
    </row>
    <row r="64" spans="18:26" x14ac:dyDescent="0.25">
      <c r="R64" s="24">
        <v>2019</v>
      </c>
      <c r="S64" s="25" t="s">
        <v>12</v>
      </c>
      <c r="T64" s="25" t="s">
        <v>15</v>
      </c>
      <c r="U64" s="24">
        <v>130</v>
      </c>
      <c r="V64" s="26">
        <v>1.7117491768974085</v>
      </c>
      <c r="W64" s="26">
        <v>0.10858875652850944</v>
      </c>
      <c r="X64" t="s">
        <v>16</v>
      </c>
      <c r="Y64">
        <f t="shared" si="11"/>
        <v>0.30118778646368838</v>
      </c>
      <c r="Z64">
        <f t="shared" si="8"/>
        <v>6.3437306115916747E-2</v>
      </c>
    </row>
    <row r="65" spans="18:26" x14ac:dyDescent="0.25">
      <c r="R65" s="24">
        <v>2019</v>
      </c>
      <c r="S65" s="25" t="s">
        <v>12</v>
      </c>
      <c r="T65" s="25" t="s">
        <v>15</v>
      </c>
      <c r="U65" s="24">
        <v>140</v>
      </c>
      <c r="V65" s="26">
        <v>1.6583628588985808</v>
      </c>
      <c r="W65" s="26">
        <v>0.1190500461480625</v>
      </c>
      <c r="X65" t="s">
        <v>16</v>
      </c>
      <c r="Y65">
        <f t="shared" si="11"/>
        <v>0.32298245799432357</v>
      </c>
      <c r="Z65">
        <f t="shared" si="8"/>
        <v>7.1787694417572059E-2</v>
      </c>
    </row>
    <row r="66" spans="18:26" x14ac:dyDescent="0.25">
      <c r="R66" s="24">
        <v>2019</v>
      </c>
      <c r="S66" s="25" t="s">
        <v>12</v>
      </c>
      <c r="T66" s="25" t="s">
        <v>15</v>
      </c>
      <c r="U66" s="24">
        <v>150</v>
      </c>
      <c r="V66" s="26">
        <v>1.6170487211464146</v>
      </c>
      <c r="W66" s="26">
        <v>0.14998035377311567</v>
      </c>
      <c r="X66" t="s">
        <v>16</v>
      </c>
      <c r="Y66">
        <f t="shared" si="11"/>
        <v>0.33984872814802947</v>
      </c>
      <c r="Z66">
        <f t="shared" si="8"/>
        <v>9.274943408432762E-2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Yield loss example</vt:lpstr>
      <vt:lpstr>Black vertosol worksheet</vt:lpstr>
      <vt:lpstr> Grey vertosol worksheet</vt:lpstr>
      <vt:lpstr>Sheet1</vt:lpstr>
      <vt:lpstr>Sheet2</vt:lpstr>
      <vt:lpstr>'Yield loss example'!Print_Area</vt:lpstr>
    </vt:vector>
  </TitlesOfParts>
  <Company>NSW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Bithell</dc:creator>
  <cp:lastModifiedBy>Amanda Warren-Smith</cp:lastModifiedBy>
  <cp:lastPrinted>2022-07-22T00:25:38Z</cp:lastPrinted>
  <dcterms:created xsi:type="dcterms:W3CDTF">2020-11-25T21:01:57Z</dcterms:created>
  <dcterms:modified xsi:type="dcterms:W3CDTF">2023-02-23T01:58:38Z</dcterms:modified>
</cp:coreProperties>
</file>