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EXC\DPI STRATEGY &amp; POLICY BRANCH\Economics &amp; Analysis\Market Industry Analysis\Performance Data and Insights\PDI 2019\Contents\Data Tables\"/>
    </mc:Choice>
  </mc:AlternateContent>
  <bookViews>
    <workbookView xWindow="480" yWindow="435" windowWidth="18720" windowHeight="5940" tabRatio="927"/>
  </bookViews>
  <sheets>
    <sheet name="Cover Sheet" sheetId="30" r:id="rId1"/>
    <sheet name="Wheat" sheetId="1" r:id="rId2"/>
    <sheet name="Barley" sheetId="2" r:id="rId3"/>
    <sheet name="Rice" sheetId="5" r:id="rId4"/>
    <sheet name="Sorghum" sheetId="8" r:id="rId5"/>
    <sheet name="Pulses" sheetId="6" r:id="rId6"/>
    <sheet name="Oilseeds" sheetId="4" r:id="rId7"/>
    <sheet name="Cotton Lint" sheetId="3" r:id="rId8"/>
    <sheet name="Sugar Cane" sheetId="7" r:id="rId9"/>
    <sheet name="Horticulture" sheetId="10" r:id="rId10"/>
    <sheet name="Wine" sheetId="19" r:id="rId11"/>
    <sheet name="Beef" sheetId="9" r:id="rId12"/>
    <sheet name="Sheep Meat" sheetId="11" r:id="rId13"/>
    <sheet name="Goat Meat" sheetId="32" r:id="rId14"/>
    <sheet name="Pork" sheetId="15" r:id="rId15"/>
    <sheet name="Poultry" sheetId="13" r:id="rId16"/>
    <sheet name="Wool" sheetId="12" r:id="rId17"/>
    <sheet name="Eggs" sheetId="16" r:id="rId18"/>
    <sheet name="Milk" sheetId="14" r:id="rId19"/>
    <sheet name="Forestry" sheetId="17" r:id="rId20"/>
    <sheet name="Fisheries" sheetId="18" r:id="rId21"/>
    <sheet name="Other Crops" sheetId="25" r:id="rId22"/>
    <sheet name="Output Table" sheetId="21" r:id="rId23"/>
    <sheet name="Production Table" sheetId="22" r:id="rId24"/>
    <sheet name="Prices Table" sheetId="29" r:id="rId25"/>
    <sheet name="Exports Table" sheetId="23" r:id="rId26"/>
    <sheet name="Imports Trade Bal. Tables" sheetId="24" r:id="rId27"/>
    <sheet name="Jobs &amp; Businesses" sheetId="26" r:id="rId28"/>
    <sheet name="Consolidated Footnotes" sheetId="27" state="hidden" r:id="rId29"/>
    <sheet name="Consolidated Sources" sheetId="28" state="hidden" r:id="rId30"/>
    <sheet name="EndNotes" sheetId="31" r:id="rId31"/>
  </sheets>
  <definedNames>
    <definedName name="_xlnm._FilterDatabase" localSheetId="27" hidden="1">'Jobs &amp; Businesses'!$A$13:$I$55</definedName>
  </definedNames>
  <calcPr calcId="162913"/>
</workbook>
</file>

<file path=xl/calcChain.xml><?xml version="1.0" encoding="utf-8"?>
<calcChain xmlns="http://schemas.openxmlformats.org/spreadsheetml/2006/main">
  <c r="H2" i="17" l="1"/>
  <c r="F33" i="24" l="1"/>
  <c r="E33" i="24"/>
  <c r="D33" i="24"/>
  <c r="C33" i="24"/>
  <c r="G33" i="24"/>
  <c r="I46" i="23" l="1"/>
  <c r="G48" i="23"/>
  <c r="F48" i="23"/>
  <c r="E48" i="23"/>
  <c r="D48" i="23"/>
  <c r="C48" i="23"/>
  <c r="G47" i="23"/>
  <c r="F47" i="23"/>
  <c r="E47" i="23"/>
  <c r="D47" i="23"/>
  <c r="C47" i="23"/>
  <c r="G46" i="23"/>
  <c r="F46" i="23"/>
  <c r="E46" i="23"/>
  <c r="D46" i="23"/>
  <c r="C46" i="23"/>
  <c r="A48" i="23"/>
  <c r="A47" i="23"/>
  <c r="A46" i="23"/>
  <c r="L56" i="23" l="1"/>
  <c r="K56" i="23"/>
  <c r="L55" i="23"/>
  <c r="K55" i="23"/>
  <c r="L54" i="23"/>
  <c r="K54" i="23"/>
  <c r="A56" i="23"/>
  <c r="A55" i="23"/>
  <c r="A54" i="23"/>
  <c r="G56" i="23"/>
  <c r="H56" i="23" s="1"/>
  <c r="F56" i="23"/>
  <c r="E56" i="23"/>
  <c r="D56" i="23"/>
  <c r="C56" i="23"/>
  <c r="G55" i="23"/>
  <c r="J55" i="23" s="1"/>
  <c r="F55" i="23"/>
  <c r="E55" i="23"/>
  <c r="D55" i="23"/>
  <c r="C55" i="23"/>
  <c r="G54" i="23"/>
  <c r="J54" i="23" s="1"/>
  <c r="F54" i="23"/>
  <c r="E54" i="23"/>
  <c r="D54" i="23"/>
  <c r="C54" i="23"/>
  <c r="F53" i="23"/>
  <c r="E53" i="23"/>
  <c r="D53" i="23"/>
  <c r="C53" i="23"/>
  <c r="G53" i="23"/>
  <c r="I53" i="23"/>
  <c r="J56" i="23"/>
  <c r="L53" i="23"/>
  <c r="K53" i="23"/>
  <c r="H55" i="23" l="1"/>
  <c r="I56" i="23"/>
  <c r="H54" i="23"/>
  <c r="J53" i="23"/>
  <c r="I55" i="23"/>
  <c r="H53" i="23"/>
  <c r="I54" i="23"/>
  <c r="C63" i="22"/>
  <c r="D12" i="8" l="1"/>
  <c r="E12" i="8"/>
  <c r="F12" i="8"/>
  <c r="G12" i="8"/>
  <c r="H12" i="8"/>
  <c r="J11" i="4"/>
  <c r="G2" i="21" l="1"/>
  <c r="J7" i="3" l="1"/>
  <c r="C22" i="22"/>
  <c r="G20" i="21"/>
  <c r="F20" i="21"/>
  <c r="E20" i="21"/>
  <c r="D20" i="21"/>
  <c r="C20" i="21"/>
  <c r="G21" i="29"/>
  <c r="F21" i="29"/>
  <c r="E21" i="29"/>
  <c r="D21" i="29"/>
  <c r="C21" i="29"/>
  <c r="L21" i="29"/>
  <c r="K21" i="29"/>
  <c r="L27" i="22"/>
  <c r="L22" i="22"/>
  <c r="K22" i="22"/>
  <c r="L20" i="21"/>
  <c r="K20" i="21"/>
  <c r="G52" i="26" l="1"/>
  <c r="F52" i="26"/>
  <c r="G38" i="26"/>
  <c r="G2" i="26"/>
  <c r="G35" i="26"/>
  <c r="F35" i="26"/>
  <c r="F5" i="26" s="1"/>
  <c r="F29" i="26"/>
  <c r="F4" i="26" s="1"/>
  <c r="G27" i="26"/>
  <c r="G29" i="26"/>
  <c r="F27" i="26"/>
  <c r="E31" i="26"/>
  <c r="D31" i="26"/>
  <c r="E52" i="26"/>
  <c r="E49" i="26"/>
  <c r="E38" i="26"/>
  <c r="E35" i="26"/>
  <c r="E29" i="26"/>
  <c r="E27" i="26"/>
  <c r="E16" i="26"/>
  <c r="D35" i="26"/>
  <c r="D52" i="26"/>
  <c r="D49" i="26"/>
  <c r="D38" i="26"/>
  <c r="D16" i="26"/>
  <c r="D27" i="26"/>
  <c r="D29" i="26"/>
  <c r="F3" i="26" l="1"/>
  <c r="F16" i="26"/>
  <c r="F2" i="26" s="1"/>
  <c r="G16" i="26"/>
  <c r="G31" i="26"/>
  <c r="F49" i="26"/>
  <c r="G49" i="26"/>
  <c r="G4" i="26" s="1"/>
  <c r="G3" i="26"/>
  <c r="G6" i="26" s="1"/>
  <c r="F31" i="26"/>
  <c r="F38" i="26"/>
  <c r="G14" i="26"/>
  <c r="F14" i="26"/>
  <c r="E14" i="26"/>
  <c r="D14" i="26"/>
  <c r="F6" i="26" l="1"/>
  <c r="E6" i="26"/>
  <c r="D6" i="26"/>
  <c r="G13" i="6" l="1"/>
  <c r="F13" i="6"/>
  <c r="E13" i="6"/>
  <c r="D13" i="6"/>
  <c r="G22" i="22" l="1"/>
  <c r="G3" i="12" l="1"/>
  <c r="F3" i="12"/>
  <c r="E3" i="12"/>
  <c r="D3" i="12"/>
  <c r="H13" i="16" l="1"/>
  <c r="F22" i="22" l="1"/>
  <c r="E22" i="22"/>
  <c r="D22" i="22"/>
  <c r="H11" i="15" l="1"/>
  <c r="I2" i="11"/>
  <c r="J2" i="11"/>
  <c r="K2" i="11"/>
  <c r="I3" i="11"/>
  <c r="J3" i="11"/>
  <c r="K3" i="11"/>
  <c r="I4" i="11"/>
  <c r="J4" i="11"/>
  <c r="K4" i="11"/>
  <c r="I7" i="11"/>
  <c r="J7" i="11"/>
  <c r="K7" i="11"/>
  <c r="I8" i="11"/>
  <c r="J8" i="11"/>
  <c r="K8" i="11"/>
  <c r="H10" i="32"/>
  <c r="G10" i="32"/>
  <c r="F10" i="32"/>
  <c r="E10" i="32"/>
  <c r="D10" i="32"/>
  <c r="K9" i="32"/>
  <c r="J9" i="32"/>
  <c r="I9" i="32"/>
  <c r="K8" i="32"/>
  <c r="J8" i="32"/>
  <c r="I8" i="32"/>
  <c r="K7" i="32"/>
  <c r="J7" i="32"/>
  <c r="I7" i="32"/>
  <c r="K6" i="32"/>
  <c r="J6" i="32"/>
  <c r="I6" i="32"/>
  <c r="K5" i="32"/>
  <c r="J5" i="32"/>
  <c r="I5" i="32"/>
  <c r="K4" i="32"/>
  <c r="J21" i="29" s="1"/>
  <c r="J4" i="32"/>
  <c r="I21" i="29" s="1"/>
  <c r="I4" i="32"/>
  <c r="H21" i="29" s="1"/>
  <c r="J3" i="32"/>
  <c r="I22" i="22" s="1"/>
  <c r="K2" i="32"/>
  <c r="J20" i="21" s="1"/>
  <c r="J2" i="32"/>
  <c r="I20" i="21" s="1"/>
  <c r="I2" i="32"/>
  <c r="H20" i="21" s="1"/>
  <c r="H1" i="32"/>
  <c r="G1" i="32"/>
  <c r="F1" i="32"/>
  <c r="E1" i="32"/>
  <c r="D1" i="32"/>
  <c r="G12" i="19"/>
  <c r="F12" i="19"/>
  <c r="E12" i="19"/>
  <c r="D12" i="19"/>
  <c r="H12" i="19"/>
  <c r="H19" i="10"/>
  <c r="I10" i="32" l="1"/>
  <c r="I3" i="32"/>
  <c r="H22" i="22" s="1"/>
  <c r="K3" i="32"/>
  <c r="J22" i="22" s="1"/>
  <c r="K10" i="32"/>
  <c r="J10" i="32"/>
  <c r="I5" i="11"/>
  <c r="J6" i="11"/>
  <c r="J5" i="11"/>
  <c r="K5" i="11"/>
  <c r="I6" i="11"/>
  <c r="K6" i="11"/>
  <c r="H14" i="14"/>
  <c r="H2" i="18" l="1"/>
  <c r="H16" i="17"/>
  <c r="H12" i="5" l="1"/>
  <c r="H12" i="2"/>
  <c r="J2" i="1" l="1"/>
  <c r="I16" i="9" l="1"/>
  <c r="G16" i="17"/>
  <c r="F16" i="17"/>
  <c r="E16" i="17"/>
  <c r="D16" i="17"/>
  <c r="E2" i="17"/>
  <c r="G2" i="17"/>
  <c r="D2" i="17" l="1"/>
  <c r="F2" i="17"/>
  <c r="L32" i="22"/>
  <c r="G25" i="22"/>
  <c r="F25" i="22"/>
  <c r="E25" i="22"/>
  <c r="D25" i="22"/>
  <c r="C25" i="22"/>
  <c r="G24" i="22"/>
  <c r="F24" i="22"/>
  <c r="E24" i="22"/>
  <c r="D24" i="22"/>
  <c r="C24" i="22"/>
  <c r="C3" i="22"/>
  <c r="D3" i="22"/>
  <c r="E3" i="22"/>
  <c r="F3" i="22"/>
  <c r="G3" i="22"/>
  <c r="C4" i="22"/>
  <c r="D4" i="22"/>
  <c r="E4" i="22"/>
  <c r="F4" i="22"/>
  <c r="G4" i="22"/>
  <c r="E5" i="22"/>
  <c r="F5" i="22"/>
  <c r="G5" i="22"/>
  <c r="C5" i="22"/>
  <c r="D5" i="22"/>
  <c r="G6" i="22"/>
  <c r="C6" i="22"/>
  <c r="D6" i="22"/>
  <c r="E6" i="22"/>
  <c r="F6" i="22"/>
  <c r="C7" i="22"/>
  <c r="D7" i="22"/>
  <c r="E7" i="22"/>
  <c r="F7" i="22"/>
  <c r="G7" i="22"/>
  <c r="C8" i="22"/>
  <c r="D8" i="22"/>
  <c r="E8" i="22"/>
  <c r="F8" i="22"/>
  <c r="G8" i="22"/>
  <c r="G9" i="22"/>
  <c r="C9" i="22"/>
  <c r="F9" i="22"/>
  <c r="C11" i="22"/>
  <c r="E4" i="25"/>
  <c r="E11" i="22"/>
  <c r="F11" i="22"/>
  <c r="G11" i="22"/>
  <c r="G20" i="22"/>
  <c r="F20" i="22"/>
  <c r="E20" i="22"/>
  <c r="D20" i="22"/>
  <c r="C20" i="22"/>
  <c r="G11" i="15"/>
  <c r="F11" i="15"/>
  <c r="E11" i="15"/>
  <c r="D11" i="15"/>
  <c r="G23" i="22"/>
  <c r="F23" i="22"/>
  <c r="E23" i="22"/>
  <c r="D23" i="22"/>
  <c r="C23" i="22"/>
  <c r="G14" i="14"/>
  <c r="F14" i="14"/>
  <c r="E14" i="14"/>
  <c r="D14" i="14"/>
  <c r="G13" i="16"/>
  <c r="F13" i="16"/>
  <c r="E13" i="16"/>
  <c r="D13" i="16"/>
  <c r="G19" i="10"/>
  <c r="F19" i="10"/>
  <c r="E19" i="10"/>
  <c r="D19" i="10"/>
  <c r="F10" i="22"/>
  <c r="E10" i="22"/>
  <c r="D10" i="22"/>
  <c r="C10" i="22"/>
  <c r="G10" i="22"/>
  <c r="E9" i="22" l="1"/>
  <c r="D9" i="22"/>
  <c r="D11" i="22"/>
  <c r="G1" i="1"/>
  <c r="F1" i="1"/>
  <c r="E1" i="1"/>
  <c r="D1" i="1"/>
  <c r="H1" i="1"/>
  <c r="G1" i="2"/>
  <c r="F1" i="2"/>
  <c r="E1" i="2"/>
  <c r="D1" i="2"/>
  <c r="H1" i="2"/>
  <c r="G1" i="5"/>
  <c r="F1" i="5"/>
  <c r="E1" i="5"/>
  <c r="D1" i="5"/>
  <c r="H1" i="5"/>
  <c r="G1" i="8"/>
  <c r="F1" i="8"/>
  <c r="E1" i="8"/>
  <c r="D1" i="8"/>
  <c r="H1" i="8"/>
  <c r="G1" i="6"/>
  <c r="F1" i="6"/>
  <c r="E1" i="6"/>
  <c r="D1" i="6"/>
  <c r="H1" i="6"/>
  <c r="G1" i="4"/>
  <c r="F1" i="4"/>
  <c r="E1" i="4"/>
  <c r="D1" i="4"/>
  <c r="H1" i="4"/>
  <c r="G1" i="3"/>
  <c r="F1" i="3"/>
  <c r="E1" i="3"/>
  <c r="D1" i="3"/>
  <c r="H1" i="3"/>
  <c r="G1" i="7"/>
  <c r="F1" i="7"/>
  <c r="E1" i="7"/>
  <c r="D1" i="7"/>
  <c r="H1" i="7"/>
  <c r="G1" i="10"/>
  <c r="F1" i="10"/>
  <c r="E1" i="10"/>
  <c r="D1" i="10"/>
  <c r="H1" i="10"/>
  <c r="G1" i="19"/>
  <c r="F1" i="19"/>
  <c r="E1" i="19"/>
  <c r="D1" i="19"/>
  <c r="H1" i="19"/>
  <c r="G1" i="9"/>
  <c r="F1" i="9"/>
  <c r="E1" i="9"/>
  <c r="D1" i="9"/>
  <c r="H1" i="9"/>
  <c r="H1" i="11"/>
  <c r="G1" i="11"/>
  <c r="F1" i="11"/>
  <c r="E1" i="11"/>
  <c r="D1" i="11"/>
  <c r="H1" i="15"/>
  <c r="G1" i="15"/>
  <c r="F1" i="15"/>
  <c r="E1" i="15"/>
  <c r="D1" i="15"/>
  <c r="H1" i="13"/>
  <c r="G1" i="13"/>
  <c r="F1" i="13"/>
  <c r="E1" i="13"/>
  <c r="D1" i="13"/>
  <c r="H1" i="12"/>
  <c r="G1" i="12"/>
  <c r="F1" i="12"/>
  <c r="E1" i="12"/>
  <c r="D1" i="12"/>
  <c r="H1" i="16"/>
  <c r="G1" i="16"/>
  <c r="F1" i="16"/>
  <c r="E1" i="16"/>
  <c r="D1" i="16"/>
  <c r="H1" i="14"/>
  <c r="G1" i="14"/>
  <c r="F1" i="14"/>
  <c r="E1" i="14"/>
  <c r="D1" i="14"/>
  <c r="H1" i="17"/>
  <c r="G1" i="17"/>
  <c r="F1" i="17"/>
  <c r="E1" i="17"/>
  <c r="D1" i="17"/>
  <c r="G12" i="1"/>
  <c r="F12" i="1"/>
  <c r="E12" i="1"/>
  <c r="D12" i="1"/>
  <c r="H1" i="18"/>
  <c r="G1" i="18"/>
  <c r="F1" i="18"/>
  <c r="E1" i="18"/>
  <c r="D1" i="18"/>
  <c r="H1" i="25"/>
  <c r="G1" i="25"/>
  <c r="F1" i="25"/>
  <c r="E1" i="25"/>
  <c r="D1" i="25"/>
  <c r="G1" i="23"/>
  <c r="F1" i="23"/>
  <c r="E1" i="23"/>
  <c r="D1" i="23"/>
  <c r="C1" i="23"/>
  <c r="G1" i="24"/>
  <c r="F1" i="24"/>
  <c r="E1" i="24"/>
  <c r="D1" i="24"/>
  <c r="C1" i="24"/>
  <c r="G1" i="29"/>
  <c r="F1" i="29"/>
  <c r="E1" i="29"/>
  <c r="D1" i="29"/>
  <c r="C1" i="29"/>
  <c r="G1" i="22"/>
  <c r="F1" i="22"/>
  <c r="E1" i="22"/>
  <c r="D1" i="22"/>
  <c r="C1" i="22"/>
  <c r="D14" i="11" l="1"/>
  <c r="F14" i="11"/>
  <c r="J3" i="14"/>
  <c r="I3" i="14"/>
  <c r="J4" i="14"/>
  <c r="I4" i="14"/>
  <c r="K5" i="14"/>
  <c r="I5" i="14"/>
  <c r="K6" i="14"/>
  <c r="J7" i="14"/>
  <c r="I7" i="14"/>
  <c r="J8" i="14"/>
  <c r="I8" i="14"/>
  <c r="I9" i="14"/>
  <c r="I13" i="14"/>
  <c r="I4" i="16"/>
  <c r="K6" i="16"/>
  <c r="I6" i="16"/>
  <c r="K10" i="16"/>
  <c r="J12" i="16"/>
  <c r="I3" i="12"/>
  <c r="I4" i="12"/>
  <c r="I6" i="12"/>
  <c r="D12" i="12"/>
  <c r="I7" i="12"/>
  <c r="G12" i="12"/>
  <c r="I3" i="13"/>
  <c r="I4" i="13"/>
  <c r="K5" i="13"/>
  <c r="I5" i="13"/>
  <c r="D11" i="13"/>
  <c r="E11" i="13"/>
  <c r="I7" i="13"/>
  <c r="J4" i="12" l="1"/>
  <c r="I10" i="16"/>
  <c r="K4" i="16"/>
  <c r="J12" i="14"/>
  <c r="J9" i="14"/>
  <c r="J5" i="14"/>
  <c r="I5" i="12"/>
  <c r="J3" i="13"/>
  <c r="K10" i="12"/>
  <c r="J8" i="12"/>
  <c r="J8" i="16"/>
  <c r="K4" i="13"/>
  <c r="K3" i="13"/>
  <c r="K12" i="11"/>
  <c r="J11" i="12"/>
  <c r="I10" i="12"/>
  <c r="K4" i="12"/>
  <c r="I11" i="14"/>
  <c r="E14" i="11"/>
  <c r="I8" i="13"/>
  <c r="J10" i="16"/>
  <c r="J5" i="16"/>
  <c r="I10" i="13"/>
  <c r="I9" i="13"/>
  <c r="I6" i="13"/>
  <c r="J4" i="13"/>
  <c r="H12" i="12"/>
  <c r="I12" i="12" s="1"/>
  <c r="J3" i="12"/>
  <c r="J3" i="16"/>
  <c r="J13" i="14"/>
  <c r="I6" i="14"/>
  <c r="J5" i="12"/>
  <c r="K5" i="16"/>
  <c r="J4" i="16"/>
  <c r="K4" i="14"/>
  <c r="J13" i="11"/>
  <c r="K7" i="13"/>
  <c r="G11" i="13"/>
  <c r="J7" i="12"/>
  <c r="F12" i="12"/>
  <c r="I13" i="16"/>
  <c r="J6" i="16"/>
  <c r="K12" i="14"/>
  <c r="K11" i="14"/>
  <c r="J10" i="11"/>
  <c r="I10" i="11"/>
  <c r="J7" i="16"/>
  <c r="H11" i="13"/>
  <c r="J8" i="13"/>
  <c r="F11" i="13"/>
  <c r="K11" i="12"/>
  <c r="J10" i="12"/>
  <c r="I9" i="12"/>
  <c r="K7" i="12"/>
  <c r="J6" i="12"/>
  <c r="I12" i="16"/>
  <c r="J11" i="16"/>
  <c r="J9" i="16"/>
  <c r="I9" i="11"/>
  <c r="K11" i="11"/>
  <c r="J7" i="13"/>
  <c r="K6" i="13"/>
  <c r="I11" i="12"/>
  <c r="I8" i="12"/>
  <c r="K6" i="12"/>
  <c r="I8" i="16"/>
  <c r="K8" i="16"/>
  <c r="K13" i="14"/>
  <c r="I12" i="14"/>
  <c r="I10" i="14"/>
  <c r="J12" i="11"/>
  <c r="G14" i="11"/>
  <c r="K7" i="16"/>
  <c r="I7" i="16"/>
  <c r="K5" i="12"/>
  <c r="H14" i="11"/>
  <c r="K10" i="11"/>
  <c r="J11" i="11"/>
  <c r="I12" i="11"/>
  <c r="I13" i="11"/>
  <c r="J9" i="11"/>
  <c r="K13" i="11"/>
  <c r="K9" i="11"/>
  <c r="I11" i="11"/>
  <c r="J11" i="14"/>
  <c r="K10" i="14"/>
  <c r="K7" i="14"/>
  <c r="J6" i="14"/>
  <c r="J10" i="14"/>
  <c r="K9" i="14"/>
  <c r="K8" i="14"/>
  <c r="K3" i="14"/>
  <c r="K12" i="16"/>
  <c r="K11" i="16"/>
  <c r="I9" i="16"/>
  <c r="I5" i="16"/>
  <c r="I3" i="16"/>
  <c r="I11" i="16"/>
  <c r="K9" i="16"/>
  <c r="K3" i="16"/>
  <c r="E12" i="12"/>
  <c r="J9" i="12"/>
  <c r="K8" i="12"/>
  <c r="K3" i="12"/>
  <c r="K9" i="12"/>
  <c r="K9" i="13"/>
  <c r="J6" i="13"/>
  <c r="J5" i="13"/>
  <c r="J10" i="13"/>
  <c r="J9" i="13"/>
  <c r="K8" i="13"/>
  <c r="K10" i="13"/>
  <c r="I11" i="13" l="1"/>
  <c r="I14" i="14"/>
  <c r="J11" i="13"/>
  <c r="K11" i="13"/>
  <c r="J13" i="16"/>
  <c r="J14" i="11"/>
  <c r="I14" i="11"/>
  <c r="K14" i="11"/>
  <c r="K14" i="14"/>
  <c r="J14" i="14"/>
  <c r="K13" i="16"/>
  <c r="K12" i="12"/>
  <c r="J12" i="12"/>
  <c r="J7" i="18" l="1"/>
  <c r="J5" i="18"/>
  <c r="J8" i="17"/>
  <c r="J7" i="17"/>
  <c r="J6" i="17"/>
  <c r="J5" i="17"/>
  <c r="J11" i="9"/>
  <c r="J10" i="9"/>
  <c r="J9" i="9"/>
  <c r="J6" i="9"/>
  <c r="I28" i="22"/>
  <c r="I19" i="22"/>
  <c r="I12" i="22"/>
  <c r="I27" i="29"/>
  <c r="I15" i="29"/>
  <c r="I11" i="29"/>
  <c r="J5" i="19"/>
  <c r="J6" i="2" l="1"/>
  <c r="J6" i="7"/>
  <c r="J6" i="5"/>
  <c r="J6" i="4"/>
  <c r="I7" i="4"/>
  <c r="J6" i="19"/>
  <c r="J7" i="6"/>
  <c r="J6" i="8"/>
  <c r="J7" i="4"/>
  <c r="J5" i="15"/>
  <c r="J6" i="1"/>
  <c r="J6" i="6"/>
  <c r="J6" i="3"/>
  <c r="I7" i="6"/>
  <c r="K7" i="6"/>
  <c r="K7" i="4"/>
  <c r="K7" i="18"/>
  <c r="I7" i="18"/>
  <c r="I6" i="18"/>
  <c r="K5" i="18"/>
  <c r="I5" i="18"/>
  <c r="K8" i="17"/>
  <c r="I8" i="17"/>
  <c r="K7" i="17"/>
  <c r="I7" i="17"/>
  <c r="K6" i="17"/>
  <c r="I6" i="17"/>
  <c r="K5" i="17"/>
  <c r="I5" i="17"/>
  <c r="K5" i="15"/>
  <c r="I5" i="15"/>
  <c r="K6" i="19"/>
  <c r="I6" i="19"/>
  <c r="K6" i="7"/>
  <c r="I6" i="7"/>
  <c r="K6" i="3"/>
  <c r="I6" i="3"/>
  <c r="K6" i="4"/>
  <c r="I6" i="4"/>
  <c r="K6" i="6"/>
  <c r="I6" i="6"/>
  <c r="K6" i="8"/>
  <c r="I6" i="8"/>
  <c r="K6" i="5"/>
  <c r="I6" i="5"/>
  <c r="K6" i="2"/>
  <c r="I6" i="2"/>
  <c r="K6" i="1"/>
  <c r="I6" i="1"/>
  <c r="G62" i="22" l="1"/>
  <c r="G70" i="22"/>
  <c r="G69" i="22"/>
  <c r="G68" i="22"/>
  <c r="G67" i="22"/>
  <c r="G66" i="22"/>
  <c r="G65" i="22"/>
  <c r="G64" i="22"/>
  <c r="G63" i="22"/>
  <c r="G54" i="22"/>
  <c r="G53" i="22"/>
  <c r="G50" i="22"/>
  <c r="G30" i="29"/>
  <c r="G29" i="29"/>
  <c r="G28" i="29"/>
  <c r="G26" i="29"/>
  <c r="G24" i="29"/>
  <c r="G23" i="29"/>
  <c r="G22" i="29"/>
  <c r="G19" i="29"/>
  <c r="G14" i="29"/>
  <c r="G10" i="29"/>
  <c r="G9" i="29"/>
  <c r="G8" i="29"/>
  <c r="G7" i="29"/>
  <c r="G6" i="29"/>
  <c r="G5" i="29"/>
  <c r="G4" i="29"/>
  <c r="G3" i="29"/>
  <c r="G32" i="22"/>
  <c r="G31" i="22"/>
  <c r="G30" i="22"/>
  <c r="G29" i="22"/>
  <c r="G26" i="22"/>
  <c r="G21" i="22"/>
  <c r="G17" i="22"/>
  <c r="G16" i="22"/>
  <c r="G15" i="22"/>
  <c r="G14" i="22"/>
  <c r="G13" i="22"/>
  <c r="J5" i="25" l="1"/>
  <c r="G51" i="22"/>
  <c r="J3" i="25"/>
  <c r="D4" i="25"/>
  <c r="H4" i="25"/>
  <c r="G4" i="25"/>
  <c r="K5" i="25"/>
  <c r="I5" i="25"/>
  <c r="I3" i="25"/>
  <c r="K3" i="25"/>
  <c r="F4" i="25"/>
  <c r="J4" i="25" l="1"/>
  <c r="I4" i="25"/>
  <c r="K4" i="25"/>
  <c r="J11" i="1" l="1"/>
  <c r="J11" i="2"/>
  <c r="J11" i="5"/>
  <c r="J11" i="8"/>
  <c r="J12" i="6"/>
  <c r="J12" i="4"/>
  <c r="J11" i="3"/>
  <c r="J11" i="7"/>
  <c r="J18" i="10"/>
  <c r="J11" i="19"/>
  <c r="J12" i="19"/>
  <c r="J16" i="9"/>
  <c r="G16" i="24"/>
  <c r="J10" i="15"/>
  <c r="G23" i="24"/>
  <c r="J15" i="17"/>
  <c r="G24" i="24"/>
  <c r="J12" i="18"/>
  <c r="G19" i="24"/>
  <c r="G20" i="24"/>
  <c r="K11" i="19"/>
  <c r="I11" i="19"/>
  <c r="G13" i="24"/>
  <c r="K12" i="19"/>
  <c r="I12" i="19"/>
  <c r="G45" i="24"/>
  <c r="K18" i="10"/>
  <c r="I18" i="10"/>
  <c r="G12" i="24"/>
  <c r="I11" i="3"/>
  <c r="K11" i="3"/>
  <c r="G9" i="24"/>
  <c r="I11" i="8"/>
  <c r="K11" i="8"/>
  <c r="G6" i="24"/>
  <c r="I11" i="5"/>
  <c r="K11" i="5"/>
  <c r="G5" i="24"/>
  <c r="K11" i="2"/>
  <c r="I11" i="2"/>
  <c r="G4" i="24"/>
  <c r="K11" i="1"/>
  <c r="I11" i="1"/>
  <c r="G3" i="24"/>
  <c r="I15" i="17"/>
  <c r="K15" i="17"/>
  <c r="I12" i="18"/>
  <c r="K12" i="18"/>
  <c r="G18" i="24"/>
  <c r="G21" i="24"/>
  <c r="K10" i="15"/>
  <c r="I10" i="15"/>
  <c r="G17" i="24"/>
  <c r="K16" i="9"/>
  <c r="G15" i="24"/>
  <c r="K11" i="7"/>
  <c r="I11" i="7"/>
  <c r="G10" i="24"/>
  <c r="I12" i="4"/>
  <c r="K12" i="4"/>
  <c r="G8" i="24"/>
  <c r="K12" i="6"/>
  <c r="I12" i="6"/>
  <c r="G7" i="24"/>
  <c r="G22" i="24" l="1"/>
  <c r="G11" i="24"/>
  <c r="G14" i="24"/>
  <c r="G2" i="24"/>
  <c r="G17" i="9"/>
  <c r="F17" i="9"/>
  <c r="E17" i="9"/>
  <c r="D17" i="9"/>
  <c r="G12" i="7"/>
  <c r="F12" i="7"/>
  <c r="E12" i="7"/>
  <c r="D12" i="7"/>
  <c r="G12" i="3"/>
  <c r="F12" i="3"/>
  <c r="E12" i="3"/>
  <c r="D12" i="3"/>
  <c r="G13" i="4"/>
  <c r="F13" i="4"/>
  <c r="E13" i="4"/>
  <c r="D13" i="4"/>
  <c r="G12" i="5"/>
  <c r="F12" i="5"/>
  <c r="E12" i="5"/>
  <c r="D12" i="5"/>
  <c r="G12" i="2"/>
  <c r="F12" i="2"/>
  <c r="E12" i="2"/>
  <c r="D12" i="2"/>
  <c r="H7" i="25" l="1"/>
  <c r="J8" i="5"/>
  <c r="J9" i="5"/>
  <c r="J10" i="5"/>
  <c r="J8" i="3"/>
  <c r="J9" i="3"/>
  <c r="J10" i="3"/>
  <c r="J12" i="9"/>
  <c r="J14" i="9"/>
  <c r="J15" i="9"/>
  <c r="J13" i="9"/>
  <c r="G82" i="23"/>
  <c r="J8" i="18"/>
  <c r="G83" i="23"/>
  <c r="J9" i="18"/>
  <c r="G84" i="23"/>
  <c r="J10" i="18"/>
  <c r="G85" i="23"/>
  <c r="J11" i="18"/>
  <c r="J7" i="2"/>
  <c r="J8" i="2"/>
  <c r="J9" i="2"/>
  <c r="J10" i="2"/>
  <c r="J7" i="5"/>
  <c r="J8" i="4"/>
  <c r="J9" i="4"/>
  <c r="J10" i="4"/>
  <c r="J7" i="19"/>
  <c r="J8" i="19"/>
  <c r="J9" i="19"/>
  <c r="J10" i="19"/>
  <c r="G78" i="23"/>
  <c r="J11" i="17"/>
  <c r="G79" i="23"/>
  <c r="J12" i="17"/>
  <c r="G80" i="23"/>
  <c r="J13" i="17"/>
  <c r="G81" i="23"/>
  <c r="J14" i="17"/>
  <c r="J7" i="1"/>
  <c r="J8" i="1"/>
  <c r="J9" i="1"/>
  <c r="J10" i="1"/>
  <c r="J8" i="6"/>
  <c r="J9" i="6"/>
  <c r="J10" i="6"/>
  <c r="J11" i="6"/>
  <c r="J14" i="10"/>
  <c r="J15" i="10"/>
  <c r="J16" i="10"/>
  <c r="J17" i="10"/>
  <c r="J6" i="15"/>
  <c r="J7" i="15"/>
  <c r="J8" i="15"/>
  <c r="J9" i="15"/>
  <c r="J7" i="8"/>
  <c r="J8" i="8"/>
  <c r="J9" i="8"/>
  <c r="J10" i="8"/>
  <c r="J7" i="7"/>
  <c r="J8" i="7"/>
  <c r="J9" i="7"/>
  <c r="J10" i="7"/>
  <c r="G49" i="23"/>
  <c r="G50" i="23"/>
  <c r="G51" i="23"/>
  <c r="G52" i="23"/>
  <c r="G65" i="23"/>
  <c r="G66" i="23"/>
  <c r="G67" i="23"/>
  <c r="G68" i="23"/>
  <c r="G69" i="23"/>
  <c r="G70" i="23"/>
  <c r="G71" i="23"/>
  <c r="G72" i="23"/>
  <c r="K7" i="19"/>
  <c r="I7" i="19"/>
  <c r="G40" i="23"/>
  <c r="K8" i="19"/>
  <c r="I8" i="19"/>
  <c r="G41" i="23"/>
  <c r="I9" i="19"/>
  <c r="K9" i="19"/>
  <c r="G42" i="23"/>
  <c r="K10" i="19"/>
  <c r="I10" i="19"/>
  <c r="G43" i="23"/>
  <c r="K14" i="10"/>
  <c r="I14" i="10"/>
  <c r="G36" i="23"/>
  <c r="J19" i="10"/>
  <c r="I15" i="10"/>
  <c r="K15" i="10"/>
  <c r="G37" i="23"/>
  <c r="K16" i="10"/>
  <c r="I16" i="10"/>
  <c r="G38" i="23"/>
  <c r="I17" i="10"/>
  <c r="K17" i="10"/>
  <c r="G39" i="23"/>
  <c r="K9" i="3"/>
  <c r="I9" i="3"/>
  <c r="G29" i="23"/>
  <c r="K10" i="3"/>
  <c r="I10" i="3"/>
  <c r="G30" i="23"/>
  <c r="I7" i="3"/>
  <c r="K7" i="3"/>
  <c r="G27" i="23"/>
  <c r="J12" i="3"/>
  <c r="K8" i="3"/>
  <c r="I8" i="3"/>
  <c r="G28" i="23"/>
  <c r="I7" i="8"/>
  <c r="K7" i="8"/>
  <c r="G15" i="23"/>
  <c r="J12" i="8"/>
  <c r="K8" i="8"/>
  <c r="I8" i="8"/>
  <c r="G16" i="23"/>
  <c r="I9" i="8"/>
  <c r="K9" i="8"/>
  <c r="G17" i="23"/>
  <c r="I10" i="8"/>
  <c r="K10" i="8"/>
  <c r="G18" i="23"/>
  <c r="K8" i="5"/>
  <c r="I8" i="5"/>
  <c r="G12" i="23"/>
  <c r="I9" i="5"/>
  <c r="K9" i="5"/>
  <c r="G13" i="23"/>
  <c r="K10" i="5"/>
  <c r="I10" i="5"/>
  <c r="G14" i="23"/>
  <c r="K7" i="5"/>
  <c r="I7" i="5"/>
  <c r="G11" i="23"/>
  <c r="J12" i="5"/>
  <c r="K7" i="2"/>
  <c r="I7" i="2"/>
  <c r="G7" i="23"/>
  <c r="J12" i="2"/>
  <c r="I8" i="2"/>
  <c r="K8" i="2"/>
  <c r="G8" i="23"/>
  <c r="K9" i="2"/>
  <c r="I9" i="2"/>
  <c r="G9" i="23"/>
  <c r="I10" i="2"/>
  <c r="K10" i="2"/>
  <c r="G10" i="23"/>
  <c r="K8" i="1"/>
  <c r="I8" i="1"/>
  <c r="G4" i="23"/>
  <c r="K9" i="1"/>
  <c r="I9" i="1"/>
  <c r="G5" i="23"/>
  <c r="I10" i="1"/>
  <c r="K10" i="1"/>
  <c r="G6" i="23"/>
  <c r="K7" i="1"/>
  <c r="I7" i="1"/>
  <c r="G3" i="23"/>
  <c r="H12" i="1"/>
  <c r="J12" i="1" s="1"/>
  <c r="I8" i="18"/>
  <c r="K8" i="18"/>
  <c r="K9" i="18"/>
  <c r="I9" i="18"/>
  <c r="K10" i="18"/>
  <c r="I10" i="18"/>
  <c r="K11" i="18"/>
  <c r="I11" i="18"/>
  <c r="I11" i="17"/>
  <c r="K11" i="17"/>
  <c r="K12" i="17"/>
  <c r="I12" i="17"/>
  <c r="K13" i="17"/>
  <c r="I13" i="17"/>
  <c r="K14" i="17"/>
  <c r="I14" i="17"/>
  <c r="G61" i="23"/>
  <c r="G62" i="23"/>
  <c r="G63" i="23"/>
  <c r="G64" i="23"/>
  <c r="G73" i="23"/>
  <c r="G74" i="23"/>
  <c r="G75" i="23"/>
  <c r="G76" i="23"/>
  <c r="K6" i="15"/>
  <c r="I6" i="15"/>
  <c r="G57" i="23"/>
  <c r="J11" i="15"/>
  <c r="K7" i="15"/>
  <c r="I7" i="15"/>
  <c r="G58" i="23"/>
  <c r="K8" i="15"/>
  <c r="I8" i="15"/>
  <c r="G59" i="23"/>
  <c r="I9" i="15"/>
  <c r="K9" i="15"/>
  <c r="G60" i="23"/>
  <c r="K12" i="9"/>
  <c r="I12" i="9"/>
  <c r="G45" i="23"/>
  <c r="H17" i="9"/>
  <c r="J17" i="9" s="1"/>
  <c r="K14" i="9"/>
  <c r="I14" i="9"/>
  <c r="I15" i="9"/>
  <c r="K15" i="9"/>
  <c r="K13" i="9"/>
  <c r="I13" i="9"/>
  <c r="K7" i="7"/>
  <c r="I7" i="7"/>
  <c r="G31" i="23"/>
  <c r="H12" i="7"/>
  <c r="J12" i="7" s="1"/>
  <c r="I8" i="7"/>
  <c r="K8" i="7"/>
  <c r="G32" i="23"/>
  <c r="K9" i="7"/>
  <c r="I9" i="7"/>
  <c r="G33" i="23"/>
  <c r="K10" i="7"/>
  <c r="I10" i="7"/>
  <c r="G34" i="23"/>
  <c r="K11" i="4"/>
  <c r="I11" i="4"/>
  <c r="G26" i="23"/>
  <c r="I8" i="4"/>
  <c r="K8" i="4"/>
  <c r="G23" i="23"/>
  <c r="H13" i="4"/>
  <c r="J13" i="4" s="1"/>
  <c r="I9" i="4"/>
  <c r="K9" i="4"/>
  <c r="G24" i="23"/>
  <c r="K10" i="4"/>
  <c r="I10" i="4"/>
  <c r="G25" i="23"/>
  <c r="K8" i="6"/>
  <c r="I8" i="6"/>
  <c r="G19" i="23"/>
  <c r="H13" i="6"/>
  <c r="J13" i="6" s="1"/>
  <c r="K9" i="6"/>
  <c r="I9" i="6"/>
  <c r="G20" i="23"/>
  <c r="K10" i="6"/>
  <c r="I10" i="6"/>
  <c r="G21" i="23"/>
  <c r="I11" i="6"/>
  <c r="K11" i="6"/>
  <c r="G22" i="23"/>
  <c r="J13" i="10"/>
  <c r="J12" i="10"/>
  <c r="G20" i="29"/>
  <c r="I3" i="15"/>
  <c r="G25" i="24" l="1"/>
  <c r="G77" i="23"/>
  <c r="G56" i="24"/>
  <c r="J13" i="18"/>
  <c r="G48" i="24"/>
  <c r="G55" i="24"/>
  <c r="J16" i="17"/>
  <c r="G51" i="24"/>
  <c r="G52" i="24"/>
  <c r="K19" i="10"/>
  <c r="I19" i="10"/>
  <c r="G44" i="24"/>
  <c r="G35" i="23"/>
  <c r="K12" i="3"/>
  <c r="I12" i="3"/>
  <c r="G41" i="24"/>
  <c r="K12" i="8"/>
  <c r="I12" i="8"/>
  <c r="G38" i="24"/>
  <c r="I12" i="5"/>
  <c r="K12" i="5"/>
  <c r="G37" i="24"/>
  <c r="I12" i="2"/>
  <c r="K12" i="2"/>
  <c r="G36" i="24"/>
  <c r="G12" i="29"/>
  <c r="G13" i="29"/>
  <c r="G25" i="29"/>
  <c r="K12" i="1"/>
  <c r="I12" i="1"/>
  <c r="G35" i="24"/>
  <c r="K16" i="17"/>
  <c r="I16" i="17"/>
  <c r="K13" i="18"/>
  <c r="I13" i="18"/>
  <c r="G50" i="24"/>
  <c r="G27" i="22"/>
  <c r="G53" i="24"/>
  <c r="K11" i="15"/>
  <c r="I11" i="15"/>
  <c r="G49" i="24"/>
  <c r="G44" i="23"/>
  <c r="K17" i="9"/>
  <c r="I17" i="9"/>
  <c r="G47" i="24"/>
  <c r="I12" i="7"/>
  <c r="K12" i="7"/>
  <c r="G42" i="24"/>
  <c r="I13" i="4"/>
  <c r="K13" i="4"/>
  <c r="G40" i="24"/>
  <c r="G2" i="23"/>
  <c r="H6" i="25" s="1"/>
  <c r="I13" i="6"/>
  <c r="K13" i="6"/>
  <c r="G39" i="24"/>
  <c r="J7" i="9"/>
  <c r="G86" i="23" l="1"/>
  <c r="G57" i="24" s="1"/>
  <c r="G54" i="24"/>
  <c r="G43" i="24"/>
  <c r="G17" i="29"/>
  <c r="G16" i="29"/>
  <c r="H8" i="9"/>
  <c r="G18" i="29"/>
  <c r="G46" i="24"/>
  <c r="G34" i="24"/>
  <c r="I5" i="9"/>
  <c r="I4" i="9"/>
  <c r="H4" i="7"/>
  <c r="H8" i="25" l="1"/>
  <c r="J4" i="6"/>
  <c r="J4" i="4"/>
  <c r="D4" i="3"/>
  <c r="J3" i="8"/>
  <c r="J3" i="3"/>
  <c r="E4" i="8"/>
  <c r="J3" i="2"/>
  <c r="J5" i="5"/>
  <c r="J5" i="2"/>
  <c r="J3" i="5"/>
  <c r="F4" i="8"/>
  <c r="J5" i="8"/>
  <c r="J3" i="6"/>
  <c r="J5" i="6"/>
  <c r="J3" i="4"/>
  <c r="J5" i="4"/>
  <c r="J5" i="3"/>
  <c r="D4" i="5"/>
  <c r="G13" i="21"/>
  <c r="J5" i="1"/>
  <c r="K3" i="2"/>
  <c r="I3" i="2"/>
  <c r="G44" i="22"/>
  <c r="G4" i="5"/>
  <c r="J3" i="1"/>
  <c r="I5" i="5"/>
  <c r="K5" i="5"/>
  <c r="I3" i="8"/>
  <c r="K3" i="8"/>
  <c r="G46" i="22"/>
  <c r="H4" i="3"/>
  <c r="K3" i="3"/>
  <c r="I3" i="3"/>
  <c r="G49" i="22"/>
  <c r="G14" i="21"/>
  <c r="K5" i="2"/>
  <c r="I5" i="2"/>
  <c r="H4" i="5"/>
  <c r="K3" i="5"/>
  <c r="I3" i="5"/>
  <c r="G45" i="22"/>
  <c r="K5" i="8"/>
  <c r="I5" i="8"/>
  <c r="K5" i="3"/>
  <c r="I5" i="3"/>
  <c r="K3" i="1"/>
  <c r="I3" i="1"/>
  <c r="G43" i="22"/>
  <c r="K5" i="1"/>
  <c r="I5" i="1"/>
  <c r="I6" i="10"/>
  <c r="I10" i="10"/>
  <c r="I4" i="19"/>
  <c r="I7" i="10"/>
  <c r="I11" i="10"/>
  <c r="I8" i="10"/>
  <c r="I3" i="19"/>
  <c r="I9" i="10"/>
  <c r="K5" i="19"/>
  <c r="I5" i="19"/>
  <c r="G18" i="22"/>
  <c r="K5" i="4"/>
  <c r="I5" i="4"/>
  <c r="I3" i="4"/>
  <c r="K3" i="4"/>
  <c r="G48" i="22"/>
  <c r="I4" i="4"/>
  <c r="K4" i="4"/>
  <c r="K3" i="6"/>
  <c r="I3" i="6"/>
  <c r="G47" i="22"/>
  <c r="I5" i="6"/>
  <c r="K5" i="6"/>
  <c r="G58" i="24"/>
  <c r="K4" i="6"/>
  <c r="I4" i="6"/>
  <c r="G4" i="3"/>
  <c r="F4" i="3"/>
  <c r="F4" i="5"/>
  <c r="E4" i="5"/>
  <c r="G4" i="8"/>
  <c r="D4" i="8"/>
  <c r="H4" i="8"/>
  <c r="E4" i="3"/>
  <c r="J4" i="2" l="1"/>
  <c r="J4" i="1"/>
  <c r="J4" i="8"/>
  <c r="J4" i="5"/>
  <c r="J4" i="3"/>
  <c r="K4" i="8"/>
  <c r="I4" i="8"/>
  <c r="I4" i="2"/>
  <c r="K4" i="2"/>
  <c r="K4" i="5"/>
  <c r="I4" i="5"/>
  <c r="K4" i="3"/>
  <c r="I4" i="3"/>
  <c r="G19" i="21"/>
  <c r="I4" i="10" l="1"/>
  <c r="I3" i="10"/>
  <c r="G2" i="10"/>
  <c r="K3" i="29" l="1"/>
  <c r="L3" i="29"/>
  <c r="K4" i="29"/>
  <c r="L4" i="29"/>
  <c r="K5" i="29"/>
  <c r="L5" i="29"/>
  <c r="K6" i="29"/>
  <c r="L6" i="29"/>
  <c r="K7" i="29"/>
  <c r="L7" i="29"/>
  <c r="K8" i="29"/>
  <c r="L8" i="29"/>
  <c r="K9" i="29"/>
  <c r="L9" i="29"/>
  <c r="K10" i="29"/>
  <c r="L10" i="29"/>
  <c r="K12" i="29"/>
  <c r="L12" i="29"/>
  <c r="K13" i="29"/>
  <c r="L13" i="29"/>
  <c r="K14" i="29"/>
  <c r="L14" i="29"/>
  <c r="K16" i="29"/>
  <c r="L16" i="29"/>
  <c r="K17" i="29"/>
  <c r="L17" i="29"/>
  <c r="K18" i="29"/>
  <c r="L18" i="29"/>
  <c r="K19" i="29"/>
  <c r="L19" i="29"/>
  <c r="K20" i="29"/>
  <c r="L20" i="29"/>
  <c r="K22" i="29"/>
  <c r="L22" i="29"/>
  <c r="K23" i="29"/>
  <c r="L23" i="29"/>
  <c r="K24" i="29"/>
  <c r="L24" i="29"/>
  <c r="K25" i="29"/>
  <c r="L25" i="29"/>
  <c r="F26" i="29"/>
  <c r="H26" i="29" s="1"/>
  <c r="K26" i="29"/>
  <c r="L26" i="29"/>
  <c r="K28" i="29"/>
  <c r="L28" i="29"/>
  <c r="K29" i="29"/>
  <c r="L29" i="29"/>
  <c r="K30" i="29"/>
  <c r="L30" i="29"/>
  <c r="B55" i="26" l="1"/>
  <c r="B54" i="26"/>
  <c r="B53" i="26"/>
  <c r="B51" i="26"/>
  <c r="B50" i="26"/>
  <c r="B48" i="26"/>
  <c r="B47" i="26"/>
  <c r="B46" i="26"/>
  <c r="B45" i="26"/>
  <c r="B44" i="26"/>
  <c r="B43" i="26"/>
  <c r="B42" i="26"/>
  <c r="B41" i="26"/>
  <c r="B40" i="26"/>
  <c r="B39" i="26"/>
  <c r="B37" i="26"/>
  <c r="B36" i="26"/>
  <c r="B34" i="26"/>
  <c r="B33" i="26"/>
  <c r="B32" i="26"/>
  <c r="B30" i="26"/>
  <c r="B28" i="26"/>
  <c r="B26" i="26"/>
  <c r="B25" i="26"/>
  <c r="B24" i="26"/>
  <c r="B23" i="26"/>
  <c r="B22" i="26"/>
  <c r="B21" i="26"/>
  <c r="B20" i="26"/>
  <c r="B19" i="26"/>
  <c r="B18" i="26"/>
  <c r="B17" i="26"/>
  <c r="L69" i="22" l="1"/>
  <c r="K69" i="22"/>
  <c r="F69" i="22"/>
  <c r="E69" i="22" l="1"/>
  <c r="C69" i="22"/>
  <c r="J69" i="22"/>
  <c r="D69" i="22"/>
  <c r="H69" i="22"/>
  <c r="L11" i="22" l="1"/>
  <c r="K11" i="22"/>
  <c r="I4" i="1" l="1"/>
  <c r="K4" i="1" l="1"/>
  <c r="L66" i="22"/>
  <c r="K66" i="22"/>
  <c r="F66" i="22"/>
  <c r="L70" i="22"/>
  <c r="K70" i="22"/>
  <c r="F70" i="22"/>
  <c r="L68" i="22"/>
  <c r="K68" i="22"/>
  <c r="F68" i="22"/>
  <c r="L67" i="22"/>
  <c r="K67" i="22"/>
  <c r="F67" i="22"/>
  <c r="L65" i="22"/>
  <c r="K65" i="22"/>
  <c r="F65" i="22"/>
  <c r="L64" i="22"/>
  <c r="K64" i="22"/>
  <c r="F64" i="22"/>
  <c r="L63" i="22"/>
  <c r="K63" i="22"/>
  <c r="F63" i="22"/>
  <c r="L62" i="22"/>
  <c r="K62" i="22"/>
  <c r="F62" i="22"/>
  <c r="E65" i="22" l="1"/>
  <c r="E64" i="22"/>
  <c r="H63" i="22"/>
  <c r="E66" i="22"/>
  <c r="J3" i="15"/>
  <c r="D65" i="22"/>
  <c r="J65" i="22"/>
  <c r="D63" i="22"/>
  <c r="C64" i="22"/>
  <c r="J64" i="22"/>
  <c r="D64" i="22"/>
  <c r="J63" i="22"/>
  <c r="C66" i="22"/>
  <c r="K3" i="15"/>
  <c r="J66" i="22" s="1"/>
  <c r="D66" i="22"/>
  <c r="H65" i="22"/>
  <c r="C65" i="22"/>
  <c r="H66" i="22"/>
  <c r="H64" i="22"/>
  <c r="E63" i="22"/>
  <c r="C67" i="22"/>
  <c r="L54" i="22"/>
  <c r="K54" i="22"/>
  <c r="F54" i="22"/>
  <c r="L53" i="22"/>
  <c r="K53" i="22"/>
  <c r="F53" i="22"/>
  <c r="H54" i="22"/>
  <c r="D54" i="22"/>
  <c r="H53" i="22"/>
  <c r="D53" i="22"/>
  <c r="C53" i="22"/>
  <c r="J54" i="22" l="1"/>
  <c r="J53" i="22"/>
  <c r="E53" i="22"/>
  <c r="E54" i="22"/>
  <c r="C54" i="22"/>
  <c r="K18" i="22"/>
  <c r="L51" i="22"/>
  <c r="K51" i="22"/>
  <c r="L50" i="22"/>
  <c r="K50" i="22"/>
  <c r="L49" i="22"/>
  <c r="K49" i="22"/>
  <c r="J49" i="22"/>
  <c r="H49" i="22"/>
  <c r="F49" i="22"/>
  <c r="E49" i="22"/>
  <c r="D49" i="22"/>
  <c r="L48" i="22"/>
  <c r="K48" i="22"/>
  <c r="J48" i="22"/>
  <c r="H48" i="22"/>
  <c r="F48" i="22"/>
  <c r="E48" i="22"/>
  <c r="D48" i="22"/>
  <c r="L47" i="22"/>
  <c r="K47" i="22"/>
  <c r="J47" i="22"/>
  <c r="H47" i="22"/>
  <c r="F47" i="22"/>
  <c r="E47" i="22"/>
  <c r="D47" i="22"/>
  <c r="L46" i="22"/>
  <c r="K46" i="22"/>
  <c r="J46" i="22"/>
  <c r="H46" i="22"/>
  <c r="F46" i="22"/>
  <c r="E46" i="22"/>
  <c r="D46" i="22"/>
  <c r="L45" i="22"/>
  <c r="K45" i="22"/>
  <c r="J45" i="22"/>
  <c r="H45" i="22"/>
  <c r="F45" i="22"/>
  <c r="E45" i="22"/>
  <c r="D45" i="22"/>
  <c r="L44" i="22"/>
  <c r="K44" i="22"/>
  <c r="J44" i="22"/>
  <c r="H44" i="22"/>
  <c r="F44" i="22"/>
  <c r="E44" i="22"/>
  <c r="D44" i="22"/>
  <c r="C49" i="22"/>
  <c r="C48" i="22"/>
  <c r="C47" i="22"/>
  <c r="C46" i="22"/>
  <c r="C45" i="22"/>
  <c r="C44" i="22"/>
  <c r="L43" i="22"/>
  <c r="K43" i="22"/>
  <c r="J43" i="22"/>
  <c r="H43" i="22"/>
  <c r="F43" i="22"/>
  <c r="E43" i="22"/>
  <c r="D43" i="22"/>
  <c r="C43" i="22"/>
  <c r="F51" i="22"/>
  <c r="E51" i="22"/>
  <c r="D51" i="22"/>
  <c r="C51" i="22"/>
  <c r="L17" i="22"/>
  <c r="K17" i="22"/>
  <c r="F17" i="22"/>
  <c r="L16" i="22"/>
  <c r="K16" i="22"/>
  <c r="F16" i="22"/>
  <c r="L15" i="22"/>
  <c r="K15" i="22"/>
  <c r="F15" i="22"/>
  <c r="L14" i="22"/>
  <c r="K14" i="22"/>
  <c r="F14" i="22"/>
  <c r="L13" i="22"/>
  <c r="K13" i="22"/>
  <c r="F13" i="22"/>
  <c r="J11" i="10"/>
  <c r="J7" i="10"/>
  <c r="J9" i="10" l="1"/>
  <c r="K7" i="10"/>
  <c r="K11" i="10"/>
  <c r="E13" i="22"/>
  <c r="J6" i="10"/>
  <c r="E17" i="22"/>
  <c r="J10" i="10"/>
  <c r="E15" i="22"/>
  <c r="J8" i="10"/>
  <c r="D13" i="22"/>
  <c r="D17" i="22"/>
  <c r="K6" i="10"/>
  <c r="D16" i="22"/>
  <c r="D14" i="22"/>
  <c r="K8" i="10"/>
  <c r="D15" i="22"/>
  <c r="K9" i="10"/>
  <c r="K10" i="10"/>
  <c r="H15" i="22"/>
  <c r="H14" i="22"/>
  <c r="H13" i="22"/>
  <c r="H17" i="22"/>
  <c r="H16" i="22"/>
  <c r="C13" i="22"/>
  <c r="H11" i="22"/>
  <c r="H51" i="22"/>
  <c r="C15" i="22"/>
  <c r="C17" i="22"/>
  <c r="C14" i="22"/>
  <c r="C16" i="22"/>
  <c r="E16" i="22"/>
  <c r="E14" i="22"/>
  <c r="J51" i="22"/>
  <c r="L25" i="24"/>
  <c r="K25" i="24"/>
  <c r="L24" i="24"/>
  <c r="K24" i="24"/>
  <c r="L23" i="24"/>
  <c r="K23" i="24"/>
  <c r="L21" i="24"/>
  <c r="K21" i="24"/>
  <c r="L20" i="24"/>
  <c r="K20" i="24"/>
  <c r="L19" i="24"/>
  <c r="K19" i="24"/>
  <c r="L18" i="24"/>
  <c r="K18" i="24"/>
  <c r="L17" i="24"/>
  <c r="K17" i="24"/>
  <c r="L16" i="24"/>
  <c r="K16" i="24"/>
  <c r="L15" i="24"/>
  <c r="K15" i="24"/>
  <c r="L13" i="24"/>
  <c r="K13" i="24"/>
  <c r="L12" i="24"/>
  <c r="K12" i="24"/>
  <c r="L10" i="24"/>
  <c r="K10" i="24"/>
  <c r="L9" i="24"/>
  <c r="K9" i="24"/>
  <c r="L8" i="24"/>
  <c r="K8" i="24"/>
  <c r="L7" i="24"/>
  <c r="K7" i="24"/>
  <c r="L6" i="24"/>
  <c r="K6" i="24"/>
  <c r="L5" i="24"/>
  <c r="K5" i="24"/>
  <c r="L4" i="24"/>
  <c r="K4" i="24"/>
  <c r="L3" i="24"/>
  <c r="K3" i="24"/>
  <c r="L86" i="23"/>
  <c r="K86" i="23"/>
  <c r="L85" i="23"/>
  <c r="K85" i="23"/>
  <c r="L84" i="23"/>
  <c r="K84" i="23"/>
  <c r="L83" i="23"/>
  <c r="K83" i="23"/>
  <c r="L82" i="23"/>
  <c r="K82" i="23"/>
  <c r="L81" i="23"/>
  <c r="K81" i="23"/>
  <c r="L80" i="23"/>
  <c r="K80" i="23"/>
  <c r="L79" i="23"/>
  <c r="K79" i="23"/>
  <c r="L78" i="23"/>
  <c r="K78" i="23"/>
  <c r="L76" i="23"/>
  <c r="K76" i="23"/>
  <c r="L75" i="23"/>
  <c r="K75" i="23"/>
  <c r="L74" i="23"/>
  <c r="K74" i="23"/>
  <c r="L73" i="23"/>
  <c r="K73" i="23"/>
  <c r="L72" i="23"/>
  <c r="K72" i="23"/>
  <c r="L71" i="23"/>
  <c r="K71" i="23"/>
  <c r="L70" i="23"/>
  <c r="K70" i="23"/>
  <c r="L69" i="23"/>
  <c r="K69" i="23"/>
  <c r="L68" i="23"/>
  <c r="K68" i="23"/>
  <c r="L67" i="23"/>
  <c r="K67" i="23"/>
  <c r="L66" i="23"/>
  <c r="K66" i="23"/>
  <c r="L65" i="23"/>
  <c r="K65" i="23"/>
  <c r="L64" i="23"/>
  <c r="K64" i="23"/>
  <c r="L63" i="23"/>
  <c r="K63" i="23"/>
  <c r="L62" i="23"/>
  <c r="K62" i="23"/>
  <c r="L61" i="23"/>
  <c r="K61" i="23"/>
  <c r="L60" i="23"/>
  <c r="K60" i="23"/>
  <c r="L59" i="23"/>
  <c r="K59" i="23"/>
  <c r="L58" i="23"/>
  <c r="K58" i="23"/>
  <c r="L57" i="23"/>
  <c r="K57" i="23"/>
  <c r="L52" i="23"/>
  <c r="K52" i="23"/>
  <c r="L51" i="23"/>
  <c r="K51" i="23"/>
  <c r="L50" i="23"/>
  <c r="K50" i="23"/>
  <c r="L49" i="23"/>
  <c r="K49" i="23"/>
  <c r="L48" i="23"/>
  <c r="K48" i="23"/>
  <c r="L47" i="23"/>
  <c r="K47" i="23"/>
  <c r="L46" i="23"/>
  <c r="K46" i="23"/>
  <c r="L45" i="23"/>
  <c r="K45" i="23"/>
  <c r="L43" i="23"/>
  <c r="K43" i="23"/>
  <c r="L42" i="23"/>
  <c r="K42" i="23"/>
  <c r="L41" i="23"/>
  <c r="K41" i="23"/>
  <c r="L40" i="23"/>
  <c r="K40" i="23"/>
  <c r="L39" i="23"/>
  <c r="K39" i="23"/>
  <c r="L38" i="23"/>
  <c r="K38" i="23"/>
  <c r="L37" i="23"/>
  <c r="K37" i="23"/>
  <c r="L36" i="23"/>
  <c r="K36" i="23"/>
  <c r="L34" i="23"/>
  <c r="K34" i="23"/>
  <c r="L33" i="23"/>
  <c r="K33" i="23"/>
  <c r="L32" i="23"/>
  <c r="K32" i="23"/>
  <c r="L31" i="23"/>
  <c r="K31" i="23"/>
  <c r="L30" i="23"/>
  <c r="K30" i="23"/>
  <c r="L29" i="23"/>
  <c r="K29" i="23"/>
  <c r="L28" i="23"/>
  <c r="K28" i="23"/>
  <c r="L27" i="23"/>
  <c r="K27" i="23"/>
  <c r="L26" i="23"/>
  <c r="K26" i="23"/>
  <c r="L25" i="23"/>
  <c r="K25" i="23"/>
  <c r="L24" i="23"/>
  <c r="K24" i="23"/>
  <c r="L23" i="23"/>
  <c r="K23" i="23"/>
  <c r="L22" i="23"/>
  <c r="K22" i="23"/>
  <c r="L21" i="23"/>
  <c r="K21" i="23"/>
  <c r="L20" i="23"/>
  <c r="K20" i="23"/>
  <c r="L19" i="23"/>
  <c r="K19" i="23"/>
  <c r="L18" i="23"/>
  <c r="K18" i="23"/>
  <c r="L17" i="23"/>
  <c r="K17" i="23"/>
  <c r="L16" i="23"/>
  <c r="K16" i="23"/>
  <c r="L15" i="23"/>
  <c r="K15" i="23"/>
  <c r="L14" i="23"/>
  <c r="K14" i="23"/>
  <c r="L13" i="23"/>
  <c r="K13" i="23"/>
  <c r="L12" i="23"/>
  <c r="K12" i="23"/>
  <c r="L11" i="23"/>
  <c r="K11" i="23"/>
  <c r="L10" i="23"/>
  <c r="K10" i="23"/>
  <c r="L9" i="23"/>
  <c r="K9" i="23"/>
  <c r="L8" i="23"/>
  <c r="K8" i="23"/>
  <c r="L7" i="23"/>
  <c r="K7" i="23"/>
  <c r="L6" i="23"/>
  <c r="K6" i="23"/>
  <c r="L5" i="23"/>
  <c r="K5" i="23"/>
  <c r="L4" i="23"/>
  <c r="K4" i="23"/>
  <c r="L3" i="23"/>
  <c r="K3" i="23"/>
  <c r="K32" i="22"/>
  <c r="F32" i="22"/>
  <c r="H32" i="22" s="1"/>
  <c r="L31" i="22"/>
  <c r="K31" i="22"/>
  <c r="F31" i="22"/>
  <c r="H31" i="22" s="1"/>
  <c r="B32" i="22"/>
  <c r="B31" i="22"/>
  <c r="L30" i="22"/>
  <c r="K30" i="22"/>
  <c r="F30" i="22"/>
  <c r="H30" i="22" s="1"/>
  <c r="L29" i="22"/>
  <c r="K29" i="22"/>
  <c r="F29" i="22"/>
  <c r="H29" i="22" s="1"/>
  <c r="B30" i="22"/>
  <c r="B29" i="22"/>
  <c r="K28" i="21"/>
  <c r="D30" i="22"/>
  <c r="D29" i="22"/>
  <c r="J13" i="22" l="1"/>
  <c r="I15" i="22"/>
  <c r="I13" i="22"/>
  <c r="I14" i="22"/>
  <c r="I17" i="22"/>
  <c r="I16" i="22"/>
  <c r="J16" i="22"/>
  <c r="I11" i="22"/>
  <c r="J17" i="22"/>
  <c r="J15" i="22"/>
  <c r="J14" i="22"/>
  <c r="J11" i="22"/>
  <c r="C29" i="22"/>
  <c r="E30" i="22"/>
  <c r="E29" i="22"/>
  <c r="C30" i="22"/>
  <c r="K27" i="22"/>
  <c r="L26" i="22"/>
  <c r="K26" i="22"/>
  <c r="F26" i="22"/>
  <c r="L25" i="22"/>
  <c r="K25" i="22"/>
  <c r="L24" i="22"/>
  <c r="K24" i="22"/>
  <c r="B27" i="22"/>
  <c r="B26" i="22"/>
  <c r="B25" i="22"/>
  <c r="B24" i="22"/>
  <c r="L23" i="22"/>
  <c r="K23" i="22"/>
  <c r="B23" i="22"/>
  <c r="L21" i="22"/>
  <c r="K21" i="22"/>
  <c r="L20" i="22"/>
  <c r="K20" i="22"/>
  <c r="L18" i="22"/>
  <c r="L10" i="22"/>
  <c r="K10" i="22"/>
  <c r="L9" i="22"/>
  <c r="K9" i="22"/>
  <c r="L8" i="22"/>
  <c r="K8" i="22"/>
  <c r="L7" i="22"/>
  <c r="K7" i="22"/>
  <c r="L6" i="22"/>
  <c r="K6" i="22"/>
  <c r="L5" i="22"/>
  <c r="K5" i="22"/>
  <c r="L4" i="22"/>
  <c r="K4" i="22"/>
  <c r="L3" i="22"/>
  <c r="K3" i="22"/>
  <c r="K23" i="21"/>
  <c r="L23" i="21"/>
  <c r="I29" i="22" l="1"/>
  <c r="J30" i="22"/>
  <c r="I30" i="22"/>
  <c r="J29" i="22"/>
  <c r="H26" i="22"/>
  <c r="K3" i="21"/>
  <c r="L3" i="21"/>
  <c r="K4" i="21"/>
  <c r="L4" i="21"/>
  <c r="K5" i="21"/>
  <c r="L5" i="21"/>
  <c r="K6" i="21"/>
  <c r="L6" i="21"/>
  <c r="K7" i="21"/>
  <c r="L7" i="21"/>
  <c r="K8" i="21"/>
  <c r="L8" i="21"/>
  <c r="K9" i="21"/>
  <c r="L9" i="21"/>
  <c r="K10" i="21"/>
  <c r="L10" i="21"/>
  <c r="K13" i="21"/>
  <c r="L13" i="21"/>
  <c r="K14" i="21"/>
  <c r="L14" i="21"/>
  <c r="K15" i="21"/>
  <c r="L15" i="21"/>
  <c r="K16" i="21"/>
  <c r="L16" i="21"/>
  <c r="K18" i="21"/>
  <c r="L18" i="21"/>
  <c r="K19" i="21"/>
  <c r="L19" i="21"/>
  <c r="K21" i="21"/>
  <c r="L21" i="21"/>
  <c r="K22" i="21"/>
  <c r="L22" i="21"/>
  <c r="K24" i="21"/>
  <c r="L24" i="21"/>
  <c r="K25" i="21"/>
  <c r="L25" i="21"/>
  <c r="K27" i="21"/>
  <c r="K29" i="21"/>
  <c r="L29" i="21"/>
  <c r="K30" i="21"/>
  <c r="L30" i="21"/>
  <c r="D31" i="22"/>
  <c r="E30" i="29"/>
  <c r="D30" i="29"/>
  <c r="C30" i="29"/>
  <c r="J6" i="18" l="1"/>
  <c r="K6" i="18"/>
  <c r="D32" i="22"/>
  <c r="D30" i="21"/>
  <c r="C31" i="22"/>
  <c r="E31" i="22"/>
  <c r="F30" i="29"/>
  <c r="H30" i="29" s="1"/>
  <c r="C30" i="21"/>
  <c r="E32" i="22"/>
  <c r="E30" i="21"/>
  <c r="C32" i="22"/>
  <c r="J30" i="29" l="1"/>
  <c r="I32" i="22"/>
  <c r="I30" i="29"/>
  <c r="I31" i="22"/>
  <c r="J31" i="22"/>
  <c r="J32" i="22"/>
  <c r="E25" i="29"/>
  <c r="E27" i="22"/>
  <c r="E67" i="22" l="1"/>
  <c r="E68" i="22"/>
  <c r="D68" i="22"/>
  <c r="C25" i="29"/>
  <c r="D26" i="22"/>
  <c r="D25" i="29"/>
  <c r="D67" i="22"/>
  <c r="J67" i="22"/>
  <c r="D70" i="22"/>
  <c r="J70" i="22"/>
  <c r="F25" i="29"/>
  <c r="H25" i="29" s="1"/>
  <c r="H70" i="22"/>
  <c r="E70" i="22"/>
  <c r="C68" i="22"/>
  <c r="H67" i="22"/>
  <c r="J68" i="22"/>
  <c r="H68" i="22"/>
  <c r="F27" i="22"/>
  <c r="H27" i="22" s="1"/>
  <c r="C70" i="22"/>
  <c r="E26" i="22"/>
  <c r="C26" i="22"/>
  <c r="F20" i="29"/>
  <c r="I9" i="9"/>
  <c r="E16" i="29" s="1"/>
  <c r="I11" i="9" s="1"/>
  <c r="E18" i="29" s="1"/>
  <c r="I10" i="9" s="1"/>
  <c r="E17" i="29" s="1"/>
  <c r="I3" i="9"/>
  <c r="J3" i="9" l="1"/>
  <c r="I25" i="29"/>
  <c r="J26" i="22"/>
  <c r="I26" i="22"/>
  <c r="J25" i="29"/>
  <c r="E20" i="29"/>
  <c r="D20" i="29" s="1"/>
  <c r="H20" i="29"/>
  <c r="K3" i="9"/>
  <c r="C16" i="29"/>
  <c r="K9" i="9"/>
  <c r="C18" i="29"/>
  <c r="K11" i="9"/>
  <c r="D16" i="29"/>
  <c r="K7" i="9"/>
  <c r="I7" i="9"/>
  <c r="C17" i="29"/>
  <c r="K10" i="9"/>
  <c r="D18" i="29"/>
  <c r="D17" i="29"/>
  <c r="F18" i="29"/>
  <c r="H18" i="29" s="1"/>
  <c r="F16" i="29"/>
  <c r="H16" i="29" s="1"/>
  <c r="E62" i="22"/>
  <c r="H62" i="22"/>
  <c r="F17" i="29"/>
  <c r="H17" i="29" s="1"/>
  <c r="F14" i="29"/>
  <c r="H14" i="29" s="1"/>
  <c r="E14" i="29"/>
  <c r="D14" i="29"/>
  <c r="C14" i="29"/>
  <c r="I18" i="29" l="1"/>
  <c r="I16" i="29"/>
  <c r="I17" i="29"/>
  <c r="I14" i="29"/>
  <c r="C20" i="29"/>
  <c r="I20" i="29" s="1"/>
  <c r="J17" i="29"/>
  <c r="J18" i="29"/>
  <c r="J16" i="29"/>
  <c r="J14" i="29"/>
  <c r="D18" i="22"/>
  <c r="J3" i="19" l="1"/>
  <c r="K3" i="19"/>
  <c r="J4" i="19"/>
  <c r="F19" i="29"/>
  <c r="J20" i="29"/>
  <c r="K4" i="19"/>
  <c r="F18" i="22"/>
  <c r="C18" i="22"/>
  <c r="E18" i="22"/>
  <c r="E13" i="29"/>
  <c r="E12" i="29"/>
  <c r="E13" i="21"/>
  <c r="I18" i="22" l="1"/>
  <c r="K3" i="10"/>
  <c r="J3" i="10"/>
  <c r="E19" i="29"/>
  <c r="D19" i="29" s="1"/>
  <c r="H19" i="29"/>
  <c r="F12" i="29"/>
  <c r="H12" i="29" s="1"/>
  <c r="I12" i="10"/>
  <c r="F13" i="29"/>
  <c r="H13" i="29" s="1"/>
  <c r="I13" i="10"/>
  <c r="C12" i="29"/>
  <c r="I12" i="29" s="1"/>
  <c r="K12" i="10"/>
  <c r="D13" i="29"/>
  <c r="D12" i="29"/>
  <c r="C13" i="29"/>
  <c r="K13" i="10"/>
  <c r="D13" i="21"/>
  <c r="J18" i="22"/>
  <c r="H18" i="22"/>
  <c r="C13" i="21"/>
  <c r="J13" i="29" l="1"/>
  <c r="I13" i="29"/>
  <c r="C19" i="29"/>
  <c r="J12" i="29"/>
  <c r="J19" i="29" l="1"/>
  <c r="I19" i="29"/>
  <c r="D27" i="21"/>
  <c r="D28" i="21"/>
  <c r="C27" i="21"/>
  <c r="F29" i="21"/>
  <c r="C28" i="21"/>
  <c r="E28" i="21"/>
  <c r="F2" i="18"/>
  <c r="E29" i="21"/>
  <c r="E2" i="18"/>
  <c r="D29" i="21"/>
  <c r="D2" i="18"/>
  <c r="C29" i="21"/>
  <c r="C26" i="21" s="1"/>
  <c r="E27" i="21"/>
  <c r="D26" i="21" l="1"/>
  <c r="E26" i="21"/>
  <c r="I4" i="15"/>
  <c r="I6" i="9"/>
  <c r="H20" i="22"/>
  <c r="H24" i="22"/>
  <c r="F21" i="22"/>
  <c r="H21" i="22" s="1"/>
  <c r="G8" i="9"/>
  <c r="I8" i="9" s="1"/>
  <c r="H23" i="22" l="1"/>
  <c r="H25" i="22"/>
  <c r="H9" i="22"/>
  <c r="H3" i="22"/>
  <c r="H8" i="22"/>
  <c r="H6" i="22"/>
  <c r="H5" i="22"/>
  <c r="H4" i="22"/>
  <c r="H7" i="22"/>
  <c r="I8" i="22" l="1"/>
  <c r="J4" i="10"/>
  <c r="I9" i="22"/>
  <c r="I7" i="22"/>
  <c r="I4" i="22"/>
  <c r="I5" i="22"/>
  <c r="I3" i="22"/>
  <c r="I6" i="22"/>
  <c r="J3" i="22"/>
  <c r="K4" i="10"/>
  <c r="J7" i="22"/>
  <c r="J5" i="22"/>
  <c r="J9" i="22"/>
  <c r="D14" i="21"/>
  <c r="D15" i="21"/>
  <c r="J4" i="22"/>
  <c r="J6" i="22"/>
  <c r="J8" i="22"/>
  <c r="C15" i="21"/>
  <c r="C14" i="21"/>
  <c r="E15" i="21"/>
  <c r="E14" i="21"/>
  <c r="F2" i="10"/>
  <c r="E2" i="10"/>
  <c r="D2" i="10"/>
  <c r="E50" i="22" l="1"/>
  <c r="I3" i="7"/>
  <c r="I5" i="7"/>
  <c r="J3" i="7" l="1"/>
  <c r="J5" i="7"/>
  <c r="C50" i="22"/>
  <c r="K3" i="7"/>
  <c r="J50" i="22" s="1"/>
  <c r="K5" i="7"/>
  <c r="D50" i="22"/>
  <c r="H10" i="22"/>
  <c r="H50" i="22"/>
  <c r="F50" i="22"/>
  <c r="F4" i="7"/>
  <c r="G4" i="7"/>
  <c r="I4" i="7" s="1"/>
  <c r="E4" i="7"/>
  <c r="D4" i="7"/>
  <c r="E24" i="24"/>
  <c r="D24" i="24"/>
  <c r="C24" i="24"/>
  <c r="E23" i="24"/>
  <c r="D23" i="24"/>
  <c r="C23" i="24"/>
  <c r="E20" i="24"/>
  <c r="D20" i="24"/>
  <c r="C20" i="24"/>
  <c r="E19" i="24"/>
  <c r="D19" i="24"/>
  <c r="C19" i="24"/>
  <c r="E17" i="24"/>
  <c r="D17" i="24"/>
  <c r="C17" i="24"/>
  <c r="E21" i="24"/>
  <c r="D21" i="24"/>
  <c r="C21" i="24"/>
  <c r="E18" i="24"/>
  <c r="D18" i="24"/>
  <c r="C18" i="24"/>
  <c r="E16" i="24"/>
  <c r="D16" i="24"/>
  <c r="C16" i="24"/>
  <c r="E15" i="24"/>
  <c r="D15" i="24"/>
  <c r="C15" i="24"/>
  <c r="E13" i="24"/>
  <c r="D13" i="24"/>
  <c r="C13" i="24"/>
  <c r="E12" i="24"/>
  <c r="E11" i="24" s="1"/>
  <c r="D12" i="24"/>
  <c r="C12" i="24"/>
  <c r="E6" i="24"/>
  <c r="D6" i="24"/>
  <c r="C6" i="24"/>
  <c r="E10" i="24"/>
  <c r="D10" i="24"/>
  <c r="C10" i="24"/>
  <c r="E7" i="24"/>
  <c r="D7" i="24"/>
  <c r="C7" i="24"/>
  <c r="E5" i="24"/>
  <c r="D5" i="24"/>
  <c r="C5" i="24"/>
  <c r="E8" i="24"/>
  <c r="D8" i="24"/>
  <c r="C8" i="24"/>
  <c r="E9" i="24"/>
  <c r="D9" i="24"/>
  <c r="C9" i="24"/>
  <c r="E4" i="24"/>
  <c r="D4" i="24"/>
  <c r="C4" i="24"/>
  <c r="E3" i="24"/>
  <c r="D3" i="24"/>
  <c r="C3" i="24"/>
  <c r="I10" i="22" l="1"/>
  <c r="J4" i="7"/>
  <c r="C11" i="24"/>
  <c r="D11" i="24"/>
  <c r="K4" i="7"/>
  <c r="J10" i="22"/>
  <c r="F12" i="24"/>
  <c r="I12" i="24" s="1"/>
  <c r="E2" i="24"/>
  <c r="C14" i="24"/>
  <c r="C2" i="24"/>
  <c r="E14" i="24"/>
  <c r="D22" i="24"/>
  <c r="D2" i="24"/>
  <c r="F9" i="24"/>
  <c r="H9" i="24" s="1"/>
  <c r="F10" i="24"/>
  <c r="H10" i="24" s="1"/>
  <c r="F15" i="24"/>
  <c r="H15" i="24" s="1"/>
  <c r="F17" i="24"/>
  <c r="H17" i="24" s="1"/>
  <c r="E22" i="24"/>
  <c r="F24" i="24"/>
  <c r="H24" i="24" s="1"/>
  <c r="F4" i="24"/>
  <c r="H4" i="24" s="1"/>
  <c r="F7" i="24"/>
  <c r="H7" i="24" s="1"/>
  <c r="F13" i="24"/>
  <c r="H13" i="24" s="1"/>
  <c r="F21" i="24"/>
  <c r="H21" i="24" s="1"/>
  <c r="F23" i="24"/>
  <c r="H23" i="24" s="1"/>
  <c r="F3" i="24"/>
  <c r="H3" i="24" s="1"/>
  <c r="F5" i="24"/>
  <c r="H5" i="24" s="1"/>
  <c r="D14" i="24"/>
  <c r="F18" i="24"/>
  <c r="H18" i="24" s="1"/>
  <c r="F20" i="24"/>
  <c r="H20" i="24" s="1"/>
  <c r="C22" i="24"/>
  <c r="F8" i="24"/>
  <c r="H8" i="24" s="1"/>
  <c r="F6" i="24"/>
  <c r="H6" i="24" s="1"/>
  <c r="F16" i="24"/>
  <c r="H16" i="24" s="1"/>
  <c r="F19" i="24"/>
  <c r="H19" i="24" s="1"/>
  <c r="D7" i="25" l="1"/>
  <c r="C25" i="24" s="1"/>
  <c r="F7" i="25"/>
  <c r="E25" i="24" s="1"/>
  <c r="E7" i="25"/>
  <c r="I7" i="24"/>
  <c r="I10" i="24"/>
  <c r="I19" i="24"/>
  <c r="I3" i="24"/>
  <c r="I5" i="24"/>
  <c r="I9" i="24"/>
  <c r="I4" i="24"/>
  <c r="I8" i="24"/>
  <c r="I17" i="24"/>
  <c r="I16" i="24"/>
  <c r="J24" i="24"/>
  <c r="I13" i="24"/>
  <c r="I15" i="24"/>
  <c r="I6" i="24"/>
  <c r="I18" i="24"/>
  <c r="J19" i="24"/>
  <c r="I20" i="24"/>
  <c r="I21" i="24"/>
  <c r="I23" i="24"/>
  <c r="I24" i="24"/>
  <c r="J4" i="24"/>
  <c r="J20" i="24"/>
  <c r="J8" i="24"/>
  <c r="J6" i="24"/>
  <c r="J23" i="24"/>
  <c r="J16" i="24"/>
  <c r="F11" i="24"/>
  <c r="H11" i="24" s="1"/>
  <c r="H12" i="24"/>
  <c r="J12" i="24"/>
  <c r="J9" i="24"/>
  <c r="J7" i="24"/>
  <c r="J5" i="24"/>
  <c r="J3" i="24"/>
  <c r="J13" i="24"/>
  <c r="J18" i="24"/>
  <c r="J21" i="24"/>
  <c r="J17" i="24"/>
  <c r="J15" i="24"/>
  <c r="J10" i="24"/>
  <c r="F2" i="24"/>
  <c r="F22" i="24"/>
  <c r="H22" i="24" s="1"/>
  <c r="F14" i="24"/>
  <c r="H14" i="24" s="1"/>
  <c r="H2" i="24" l="1"/>
  <c r="G7" i="25"/>
  <c r="J7" i="25" s="1"/>
  <c r="D25" i="24"/>
  <c r="I11" i="24"/>
  <c r="I2" i="24"/>
  <c r="J11" i="24"/>
  <c r="I22" i="24"/>
  <c r="J2" i="24"/>
  <c r="J22" i="24"/>
  <c r="I14" i="24"/>
  <c r="D16" i="21"/>
  <c r="D12" i="21" s="1"/>
  <c r="D9" i="21"/>
  <c r="D5" i="21"/>
  <c r="D23" i="21"/>
  <c r="D4" i="21"/>
  <c r="D6" i="21"/>
  <c r="D24" i="21"/>
  <c r="D3" i="21"/>
  <c r="D22" i="21"/>
  <c r="D25" i="21"/>
  <c r="D21" i="21"/>
  <c r="J14" i="24"/>
  <c r="D18" i="21"/>
  <c r="D10" i="21"/>
  <c r="D8" i="21"/>
  <c r="D7" i="21"/>
  <c r="C3" i="21"/>
  <c r="C9" i="21"/>
  <c r="C10" i="21"/>
  <c r="C25" i="21"/>
  <c r="C23" i="21"/>
  <c r="C5" i="21"/>
  <c r="C4" i="21"/>
  <c r="C7" i="21"/>
  <c r="C6" i="21"/>
  <c r="C22" i="21"/>
  <c r="C21" i="21"/>
  <c r="C24" i="21"/>
  <c r="C8" i="21"/>
  <c r="C18" i="21"/>
  <c r="C16" i="21"/>
  <c r="C12" i="21" s="1"/>
  <c r="H26" i="24"/>
  <c r="E23" i="21"/>
  <c r="E5" i="21"/>
  <c r="E10" i="21"/>
  <c r="E18" i="21"/>
  <c r="E25" i="21"/>
  <c r="D19" i="21"/>
  <c r="E4" i="21"/>
  <c r="E8" i="21"/>
  <c r="E6" i="21"/>
  <c r="E19" i="21"/>
  <c r="E22" i="21"/>
  <c r="E21" i="21"/>
  <c r="E24" i="21"/>
  <c r="E3" i="21"/>
  <c r="E9" i="21"/>
  <c r="C19" i="21"/>
  <c r="E7" i="21"/>
  <c r="E16" i="21"/>
  <c r="E12" i="21" s="1"/>
  <c r="A43" i="23"/>
  <c r="A42" i="23"/>
  <c r="A41" i="23"/>
  <c r="E43" i="23"/>
  <c r="D43" i="23"/>
  <c r="C43" i="23"/>
  <c r="E42" i="23"/>
  <c r="D42" i="23"/>
  <c r="C42" i="23"/>
  <c r="E41" i="23"/>
  <c r="D41" i="23"/>
  <c r="C41" i="23"/>
  <c r="C40" i="23"/>
  <c r="A85" i="23"/>
  <c r="A84" i="23"/>
  <c r="A83" i="23"/>
  <c r="E85" i="23"/>
  <c r="D85" i="23"/>
  <c r="C85" i="23"/>
  <c r="E84" i="23"/>
  <c r="D84" i="23"/>
  <c r="C84" i="23"/>
  <c r="E83" i="23"/>
  <c r="D83" i="23"/>
  <c r="C83" i="23"/>
  <c r="C82" i="23"/>
  <c r="A81" i="23"/>
  <c r="A80" i="23"/>
  <c r="A79" i="23"/>
  <c r="E81" i="23"/>
  <c r="D81" i="23"/>
  <c r="C81" i="23"/>
  <c r="E80" i="23"/>
  <c r="D80" i="23"/>
  <c r="C80" i="23"/>
  <c r="E79" i="23"/>
  <c r="D79" i="23"/>
  <c r="C79" i="23"/>
  <c r="A72" i="23"/>
  <c r="A71" i="23"/>
  <c r="A70" i="23"/>
  <c r="E72" i="23"/>
  <c r="D72" i="23"/>
  <c r="C72" i="23"/>
  <c r="E71" i="23"/>
  <c r="D71" i="23"/>
  <c r="C71" i="23"/>
  <c r="E70" i="23"/>
  <c r="D70" i="23"/>
  <c r="C70" i="23"/>
  <c r="C69" i="23"/>
  <c r="A60" i="23"/>
  <c r="A59" i="23"/>
  <c r="A58" i="23"/>
  <c r="E60" i="23"/>
  <c r="D60" i="23"/>
  <c r="C60" i="23"/>
  <c r="E59" i="23"/>
  <c r="D59" i="23"/>
  <c r="C59" i="23"/>
  <c r="E58" i="23"/>
  <c r="D58" i="23"/>
  <c r="C58" i="23"/>
  <c r="A76" i="23"/>
  <c r="A75" i="23"/>
  <c r="A74" i="23"/>
  <c r="E76" i="23"/>
  <c r="D76" i="23"/>
  <c r="C76" i="23"/>
  <c r="E75" i="23"/>
  <c r="D75" i="23"/>
  <c r="C75" i="23"/>
  <c r="E74" i="23"/>
  <c r="D74" i="23"/>
  <c r="C74" i="23"/>
  <c r="A64" i="23"/>
  <c r="A63" i="23"/>
  <c r="A62" i="23"/>
  <c r="E64" i="23"/>
  <c r="D64" i="23"/>
  <c r="C64" i="23"/>
  <c r="E63" i="23"/>
  <c r="D63" i="23"/>
  <c r="C63" i="23"/>
  <c r="E62" i="23"/>
  <c r="D62" i="23"/>
  <c r="C62" i="23"/>
  <c r="A39" i="23"/>
  <c r="A38" i="23"/>
  <c r="A37" i="23"/>
  <c r="E39" i="23"/>
  <c r="D39" i="23"/>
  <c r="C39" i="23"/>
  <c r="E38" i="23"/>
  <c r="D38" i="23"/>
  <c r="C38" i="23"/>
  <c r="E37" i="23"/>
  <c r="D37" i="23"/>
  <c r="C37" i="23"/>
  <c r="A68" i="23"/>
  <c r="A67" i="23"/>
  <c r="A66" i="23"/>
  <c r="E68" i="23"/>
  <c r="D68" i="23"/>
  <c r="C68" i="23"/>
  <c r="E67" i="23"/>
  <c r="D67" i="23"/>
  <c r="C67" i="23"/>
  <c r="E66" i="23"/>
  <c r="D66" i="23"/>
  <c r="C66" i="23"/>
  <c r="A52" i="23"/>
  <c r="A51" i="23"/>
  <c r="A50" i="23"/>
  <c r="E52" i="23"/>
  <c r="D52" i="23"/>
  <c r="C52" i="23"/>
  <c r="E51" i="23"/>
  <c r="D51" i="23"/>
  <c r="C51" i="23"/>
  <c r="E50" i="23"/>
  <c r="D50" i="23"/>
  <c r="C50" i="23"/>
  <c r="A18" i="23"/>
  <c r="A17" i="23"/>
  <c r="A16" i="23"/>
  <c r="E18" i="23"/>
  <c r="D18" i="23"/>
  <c r="C18" i="23"/>
  <c r="E17" i="23"/>
  <c r="D17" i="23"/>
  <c r="C17" i="23"/>
  <c r="E16" i="23"/>
  <c r="D16" i="23"/>
  <c r="C16" i="23"/>
  <c r="A34" i="23"/>
  <c r="A33" i="23"/>
  <c r="A32" i="23"/>
  <c r="E34" i="23"/>
  <c r="D34" i="23"/>
  <c r="C34" i="23"/>
  <c r="E33" i="23"/>
  <c r="D33" i="23"/>
  <c r="C33" i="23"/>
  <c r="E32" i="23"/>
  <c r="D32" i="23"/>
  <c r="C32" i="23"/>
  <c r="A22" i="23"/>
  <c r="A21" i="23"/>
  <c r="A20" i="23"/>
  <c r="E22" i="23"/>
  <c r="D22" i="23"/>
  <c r="C22" i="23"/>
  <c r="E21" i="23"/>
  <c r="D21" i="23"/>
  <c r="C21" i="23"/>
  <c r="E20" i="23"/>
  <c r="D20" i="23"/>
  <c r="C20" i="23"/>
  <c r="A14" i="23"/>
  <c r="A13" i="23"/>
  <c r="A12" i="23"/>
  <c r="E14" i="23"/>
  <c r="D14" i="23"/>
  <c r="C14" i="23"/>
  <c r="E13" i="23"/>
  <c r="D13" i="23"/>
  <c r="C13" i="23"/>
  <c r="E12" i="23"/>
  <c r="D12" i="23"/>
  <c r="C12" i="23"/>
  <c r="A26" i="23"/>
  <c r="A25" i="23"/>
  <c r="A24" i="23"/>
  <c r="E26" i="23"/>
  <c r="D26" i="23"/>
  <c r="C26" i="23"/>
  <c r="E25" i="23"/>
  <c r="D25" i="23"/>
  <c r="C25" i="23"/>
  <c r="E24" i="23"/>
  <c r="D24" i="23"/>
  <c r="C24" i="23"/>
  <c r="A30" i="23"/>
  <c r="A29" i="23"/>
  <c r="A28" i="23"/>
  <c r="E30" i="23"/>
  <c r="D30" i="23"/>
  <c r="C30" i="23"/>
  <c r="E29" i="23"/>
  <c r="D29" i="23"/>
  <c r="C29" i="23"/>
  <c r="E28" i="23"/>
  <c r="D28" i="23"/>
  <c r="C28" i="23"/>
  <c r="A10" i="23"/>
  <c r="A9" i="23"/>
  <c r="A8" i="23"/>
  <c r="E10" i="23"/>
  <c r="D10" i="23"/>
  <c r="C10" i="23"/>
  <c r="E9" i="23"/>
  <c r="D9" i="23"/>
  <c r="C9" i="23"/>
  <c r="E8" i="23"/>
  <c r="D8" i="23"/>
  <c r="C8" i="23"/>
  <c r="A6" i="23"/>
  <c r="A5" i="23"/>
  <c r="A4" i="23"/>
  <c r="E6" i="23"/>
  <c r="D6" i="23"/>
  <c r="C6" i="23"/>
  <c r="E5" i="23"/>
  <c r="D5" i="23"/>
  <c r="C5" i="23"/>
  <c r="E4" i="23"/>
  <c r="D4" i="23"/>
  <c r="C4" i="23"/>
  <c r="K7" i="25" l="1"/>
  <c r="I7" i="25"/>
  <c r="F25" i="24"/>
  <c r="C17" i="21"/>
  <c r="I26" i="24"/>
  <c r="J26" i="24"/>
  <c r="F80" i="23"/>
  <c r="H80" i="23" s="1"/>
  <c r="F38" i="23"/>
  <c r="H38" i="23" s="1"/>
  <c r="F78" i="23"/>
  <c r="H78" i="23" s="1"/>
  <c r="F36" i="23"/>
  <c r="D17" i="21"/>
  <c r="D35" i="24"/>
  <c r="D3" i="23"/>
  <c r="F5" i="23"/>
  <c r="H5" i="23" s="1"/>
  <c r="E36" i="24"/>
  <c r="E7" i="23"/>
  <c r="F8" i="23"/>
  <c r="H8" i="23" s="1"/>
  <c r="F27" i="23"/>
  <c r="H27" i="23" s="1"/>
  <c r="C40" i="24"/>
  <c r="C23" i="23"/>
  <c r="F26" i="23"/>
  <c r="H26" i="23" s="1"/>
  <c r="D37" i="24"/>
  <c r="D11" i="23"/>
  <c r="F13" i="23"/>
  <c r="H13" i="23" s="1"/>
  <c r="E39" i="24"/>
  <c r="E19" i="23"/>
  <c r="F20" i="23"/>
  <c r="H20" i="23" s="1"/>
  <c r="F31" i="23"/>
  <c r="H31" i="23" s="1"/>
  <c r="C38" i="24"/>
  <c r="C15" i="23"/>
  <c r="F18" i="23"/>
  <c r="H18" i="23" s="1"/>
  <c r="D47" i="24"/>
  <c r="D45" i="23"/>
  <c r="H47" i="23"/>
  <c r="E48" i="24"/>
  <c r="E49" i="23"/>
  <c r="F50" i="23"/>
  <c r="H50" i="23" s="1"/>
  <c r="F65" i="23"/>
  <c r="H65" i="23" s="1"/>
  <c r="C44" i="24"/>
  <c r="C36" i="23"/>
  <c r="F39" i="23"/>
  <c r="H39" i="23" s="1"/>
  <c r="D50" i="24"/>
  <c r="D61" i="23"/>
  <c r="F63" i="23"/>
  <c r="H63" i="23" s="1"/>
  <c r="E53" i="24"/>
  <c r="E73" i="23"/>
  <c r="F74" i="23"/>
  <c r="H74" i="23" s="1"/>
  <c r="F57" i="23"/>
  <c r="H57" i="23" s="1"/>
  <c r="F72" i="23"/>
  <c r="H72" i="23" s="1"/>
  <c r="D55" i="24"/>
  <c r="D78" i="23"/>
  <c r="E56" i="24"/>
  <c r="E82" i="23"/>
  <c r="F83" i="23"/>
  <c r="H83" i="23" s="1"/>
  <c r="F40" i="23"/>
  <c r="H40" i="23" s="1"/>
  <c r="E35" i="24"/>
  <c r="E3" i="23"/>
  <c r="F4" i="23"/>
  <c r="H4" i="23" s="1"/>
  <c r="F7" i="23"/>
  <c r="H7" i="23" s="1"/>
  <c r="C41" i="24"/>
  <c r="C27" i="23"/>
  <c r="F30" i="23"/>
  <c r="H30" i="23" s="1"/>
  <c r="D40" i="24"/>
  <c r="D23" i="23"/>
  <c r="F25" i="23"/>
  <c r="H25" i="23" s="1"/>
  <c r="E37" i="24"/>
  <c r="E11" i="23"/>
  <c r="F12" i="23"/>
  <c r="H12" i="23" s="1"/>
  <c r="F19" i="23"/>
  <c r="H19" i="23" s="1"/>
  <c r="C42" i="24"/>
  <c r="C31" i="23"/>
  <c r="F34" i="23"/>
  <c r="H34" i="23" s="1"/>
  <c r="D38" i="24"/>
  <c r="D15" i="23"/>
  <c r="F17" i="23"/>
  <c r="H17" i="23" s="1"/>
  <c r="E47" i="24"/>
  <c r="E45" i="23"/>
  <c r="H46" i="23"/>
  <c r="F49" i="23"/>
  <c r="H49" i="23" s="1"/>
  <c r="C51" i="24"/>
  <c r="C65" i="23"/>
  <c r="F68" i="23"/>
  <c r="H68" i="23" s="1"/>
  <c r="D44" i="24"/>
  <c r="D36" i="23"/>
  <c r="E50" i="24"/>
  <c r="E61" i="23"/>
  <c r="F62" i="23"/>
  <c r="H62" i="23" s="1"/>
  <c r="F73" i="23"/>
  <c r="H73" i="23" s="1"/>
  <c r="C49" i="24"/>
  <c r="C57" i="23"/>
  <c r="F60" i="23"/>
  <c r="H60" i="23" s="1"/>
  <c r="D52" i="24"/>
  <c r="D69" i="23"/>
  <c r="F71" i="23"/>
  <c r="H71" i="23" s="1"/>
  <c r="E55" i="24"/>
  <c r="E78" i="23"/>
  <c r="F79" i="23"/>
  <c r="H79" i="23" s="1"/>
  <c r="F82" i="23"/>
  <c r="H82" i="23" s="1"/>
  <c r="F43" i="23"/>
  <c r="H43" i="23" s="1"/>
  <c r="F3" i="23"/>
  <c r="H3" i="23" s="1"/>
  <c r="C36" i="24"/>
  <c r="C7" i="23"/>
  <c r="F10" i="23"/>
  <c r="H10" i="23" s="1"/>
  <c r="D41" i="24"/>
  <c r="D27" i="23"/>
  <c r="F29" i="23"/>
  <c r="H29" i="23" s="1"/>
  <c r="E40" i="24"/>
  <c r="E23" i="23"/>
  <c r="F24" i="23"/>
  <c r="H24" i="23" s="1"/>
  <c r="F11" i="23"/>
  <c r="H11" i="23" s="1"/>
  <c r="C39" i="24"/>
  <c r="C19" i="23"/>
  <c r="F22" i="23"/>
  <c r="H22" i="23" s="1"/>
  <c r="D42" i="24"/>
  <c r="D31" i="23"/>
  <c r="F33" i="23"/>
  <c r="H33" i="23" s="1"/>
  <c r="E38" i="24"/>
  <c r="E15" i="23"/>
  <c r="F16" i="23"/>
  <c r="H16" i="23" s="1"/>
  <c r="F45" i="23"/>
  <c r="H45" i="23" s="1"/>
  <c r="C48" i="24"/>
  <c r="C49" i="23"/>
  <c r="F52" i="23"/>
  <c r="H52" i="23" s="1"/>
  <c r="D51" i="24"/>
  <c r="D65" i="23"/>
  <c r="F67" i="23"/>
  <c r="H67" i="23" s="1"/>
  <c r="E44" i="24"/>
  <c r="E43" i="24" s="1"/>
  <c r="E36" i="23"/>
  <c r="E35" i="23" s="1"/>
  <c r="F37" i="23"/>
  <c r="H37" i="23" s="1"/>
  <c r="F61" i="23"/>
  <c r="H61" i="23" s="1"/>
  <c r="C53" i="24"/>
  <c r="C73" i="23"/>
  <c r="F76" i="23"/>
  <c r="H76" i="23" s="1"/>
  <c r="D49" i="24"/>
  <c r="D57" i="23"/>
  <c r="F59" i="23"/>
  <c r="H59" i="23" s="1"/>
  <c r="E52" i="24"/>
  <c r="E69" i="23"/>
  <c r="F70" i="23"/>
  <c r="H70" i="23" s="1"/>
  <c r="F85" i="23"/>
  <c r="H85" i="23" s="1"/>
  <c r="D45" i="24"/>
  <c r="D40" i="23"/>
  <c r="F42" i="23"/>
  <c r="H42" i="23" s="1"/>
  <c r="C35" i="24"/>
  <c r="C3" i="23"/>
  <c r="F6" i="23"/>
  <c r="H6" i="23" s="1"/>
  <c r="D36" i="24"/>
  <c r="D7" i="23"/>
  <c r="F9" i="23"/>
  <c r="H9" i="23" s="1"/>
  <c r="E41" i="24"/>
  <c r="E27" i="23"/>
  <c r="F28" i="23"/>
  <c r="H28" i="23" s="1"/>
  <c r="F23" i="23"/>
  <c r="H23" i="23" s="1"/>
  <c r="C37" i="24"/>
  <c r="C11" i="23"/>
  <c r="F14" i="23"/>
  <c r="H14" i="23" s="1"/>
  <c r="D39" i="24"/>
  <c r="D19" i="23"/>
  <c r="F21" i="23"/>
  <c r="H21" i="23" s="1"/>
  <c r="E42" i="24"/>
  <c r="E31" i="23"/>
  <c r="F32" i="23"/>
  <c r="H32" i="23" s="1"/>
  <c r="F15" i="23"/>
  <c r="H15" i="23" s="1"/>
  <c r="C47" i="24"/>
  <c r="C45" i="23"/>
  <c r="H48" i="23"/>
  <c r="D48" i="24"/>
  <c r="D49" i="23"/>
  <c r="F51" i="23"/>
  <c r="H51" i="23" s="1"/>
  <c r="E51" i="24"/>
  <c r="E65" i="23"/>
  <c r="F66" i="23"/>
  <c r="H66" i="23" s="1"/>
  <c r="C50" i="24"/>
  <c r="C61" i="23"/>
  <c r="F64" i="23"/>
  <c r="H64" i="23" s="1"/>
  <c r="D53" i="24"/>
  <c r="D73" i="23"/>
  <c r="F75" i="23"/>
  <c r="H75" i="23" s="1"/>
  <c r="E49" i="24"/>
  <c r="E57" i="23"/>
  <c r="F58" i="23"/>
  <c r="H58" i="23" s="1"/>
  <c r="F69" i="23"/>
  <c r="H69" i="23" s="1"/>
  <c r="C55" i="24"/>
  <c r="C78" i="23"/>
  <c r="F81" i="23"/>
  <c r="H81" i="23" s="1"/>
  <c r="D56" i="24"/>
  <c r="D82" i="23"/>
  <c r="F84" i="23"/>
  <c r="H84" i="23" s="1"/>
  <c r="E45" i="24"/>
  <c r="E40" i="23"/>
  <c r="F41" i="23"/>
  <c r="H41" i="23" s="1"/>
  <c r="E17" i="21"/>
  <c r="C45" i="24"/>
  <c r="C52" i="24"/>
  <c r="C56" i="24"/>
  <c r="F24" i="29"/>
  <c r="E24" i="29"/>
  <c r="H25" i="24" l="1"/>
  <c r="I25" i="24"/>
  <c r="J25" i="24"/>
  <c r="I61" i="23"/>
  <c r="I45" i="23"/>
  <c r="I3" i="23"/>
  <c r="J11" i="23"/>
  <c r="I11" i="23"/>
  <c r="I31" i="23"/>
  <c r="J30" i="23"/>
  <c r="I84" i="23"/>
  <c r="I59" i="23"/>
  <c r="I33" i="23"/>
  <c r="I60" i="23"/>
  <c r="I21" i="23"/>
  <c r="I40" i="23"/>
  <c r="I16" i="23"/>
  <c r="I10" i="23"/>
  <c r="I4" i="23"/>
  <c r="I38" i="23"/>
  <c r="I14" i="23"/>
  <c r="I49" i="23"/>
  <c r="I7" i="23"/>
  <c r="I57" i="23"/>
  <c r="I15" i="23"/>
  <c r="J29" i="23"/>
  <c r="I71" i="23"/>
  <c r="I39" i="23"/>
  <c r="I20" i="23"/>
  <c r="I51" i="23"/>
  <c r="I12" i="23"/>
  <c r="I37" i="23"/>
  <c r="I22" i="23"/>
  <c r="I6" i="23"/>
  <c r="I9" i="23"/>
  <c r="I48" i="23"/>
  <c r="I25" i="23"/>
  <c r="I27" i="23"/>
  <c r="J6" i="23"/>
  <c r="I68" i="23"/>
  <c r="I50" i="23"/>
  <c r="I29" i="23"/>
  <c r="I30" i="23"/>
  <c r="I52" i="23"/>
  <c r="I13" i="23"/>
  <c r="I26" i="23"/>
  <c r="I43" i="23"/>
  <c r="I17" i="23"/>
  <c r="I28" i="23"/>
  <c r="I19" i="23"/>
  <c r="I36" i="23"/>
  <c r="I23" i="23"/>
  <c r="J10" i="23"/>
  <c r="I85" i="23"/>
  <c r="I64" i="23"/>
  <c r="I18" i="23"/>
  <c r="I41" i="23"/>
  <c r="I34" i="23"/>
  <c r="I42" i="23"/>
  <c r="I47" i="23"/>
  <c r="I24" i="23"/>
  <c r="I8" i="23"/>
  <c r="I58" i="23"/>
  <c r="I32" i="23"/>
  <c r="I5" i="23"/>
  <c r="I63" i="23"/>
  <c r="I62" i="23"/>
  <c r="I66" i="23"/>
  <c r="D24" i="29"/>
  <c r="I65" i="23"/>
  <c r="I67" i="23"/>
  <c r="I69" i="23"/>
  <c r="I72" i="23"/>
  <c r="J71" i="23"/>
  <c r="I70" i="23"/>
  <c r="I73" i="23"/>
  <c r="I76" i="23"/>
  <c r="I74" i="23"/>
  <c r="I75" i="23"/>
  <c r="I78" i="23"/>
  <c r="I81" i="23"/>
  <c r="I79" i="23"/>
  <c r="I80" i="23"/>
  <c r="I82" i="23"/>
  <c r="I83" i="23"/>
  <c r="C77" i="23"/>
  <c r="J78" i="23"/>
  <c r="J85" i="23"/>
  <c r="J16" i="23"/>
  <c r="J52" i="23"/>
  <c r="J69" i="23"/>
  <c r="J82" i="23"/>
  <c r="J79" i="23"/>
  <c r="J61" i="23"/>
  <c r="J49" i="23"/>
  <c r="J4" i="23"/>
  <c r="J28" i="23"/>
  <c r="J83" i="23"/>
  <c r="J67" i="23"/>
  <c r="J72" i="23"/>
  <c r="J70" i="23"/>
  <c r="J84" i="23"/>
  <c r="J45" i="23"/>
  <c r="J3" i="23"/>
  <c r="J65" i="23"/>
  <c r="J27" i="23"/>
  <c r="J34" i="23"/>
  <c r="J8" i="23"/>
  <c r="J81" i="23"/>
  <c r="J80" i="23"/>
  <c r="J66" i="23"/>
  <c r="J68" i="23"/>
  <c r="J59" i="23"/>
  <c r="J51" i="23"/>
  <c r="J50" i="23"/>
  <c r="J48" i="23"/>
  <c r="J46" i="23"/>
  <c r="J47" i="23"/>
  <c r="D35" i="23"/>
  <c r="C35" i="23"/>
  <c r="J36" i="23"/>
  <c r="D43" i="24"/>
  <c r="C43" i="24"/>
  <c r="J37" i="23"/>
  <c r="F35" i="23"/>
  <c r="H35" i="23" s="1"/>
  <c r="H36" i="23"/>
  <c r="J38" i="23"/>
  <c r="J39" i="23"/>
  <c r="J33" i="23"/>
  <c r="J25" i="23"/>
  <c r="J26" i="23"/>
  <c r="J17" i="23"/>
  <c r="J15" i="23"/>
  <c r="J18" i="23"/>
  <c r="J12" i="23"/>
  <c r="J13" i="23"/>
  <c r="J14" i="23"/>
  <c r="J7" i="23"/>
  <c r="J9" i="23"/>
  <c r="J5" i="23"/>
  <c r="J41" i="23"/>
  <c r="J42" i="23"/>
  <c r="J40" i="23"/>
  <c r="J43" i="23"/>
  <c r="J64" i="23"/>
  <c r="J63" i="23"/>
  <c r="J62" i="23"/>
  <c r="J73" i="23"/>
  <c r="J76" i="23"/>
  <c r="J74" i="23"/>
  <c r="J75" i="23"/>
  <c r="J57" i="23"/>
  <c r="J58" i="23"/>
  <c r="J60" i="23"/>
  <c r="J31" i="23"/>
  <c r="J32" i="23"/>
  <c r="H24" i="29"/>
  <c r="J24" i="23"/>
  <c r="J23" i="23"/>
  <c r="J21" i="23"/>
  <c r="J19" i="23"/>
  <c r="J22" i="23"/>
  <c r="J20" i="23"/>
  <c r="C24" i="29"/>
  <c r="E77" i="23"/>
  <c r="F77" i="23"/>
  <c r="H77" i="23" s="1"/>
  <c r="C54" i="24"/>
  <c r="E54" i="24"/>
  <c r="F36" i="24"/>
  <c r="F52" i="24"/>
  <c r="F56" i="24"/>
  <c r="D54" i="24"/>
  <c r="F35" i="24"/>
  <c r="F40" i="24"/>
  <c r="F38" i="24"/>
  <c r="F45" i="24"/>
  <c r="F42" i="24"/>
  <c r="F41" i="24"/>
  <c r="D46" i="24"/>
  <c r="F39" i="24"/>
  <c r="F47" i="24"/>
  <c r="F50" i="24"/>
  <c r="D34" i="24"/>
  <c r="F37" i="24"/>
  <c r="F53" i="24"/>
  <c r="C34" i="24"/>
  <c r="E34" i="24"/>
  <c r="F49" i="24"/>
  <c r="E46" i="24"/>
  <c r="C44" i="23"/>
  <c r="F51" i="24"/>
  <c r="C46" i="24"/>
  <c r="F48" i="24"/>
  <c r="F55" i="24"/>
  <c r="F44" i="24"/>
  <c r="C2" i="23"/>
  <c r="F2" i="23"/>
  <c r="D2" i="23"/>
  <c r="E2" i="23"/>
  <c r="D77" i="23"/>
  <c r="D44" i="23"/>
  <c r="F44" i="23"/>
  <c r="H44" i="23" s="1"/>
  <c r="E44" i="23"/>
  <c r="F6" i="25" l="1"/>
  <c r="E6" i="25"/>
  <c r="H2" i="23"/>
  <c r="G6" i="25"/>
  <c r="D6" i="25"/>
  <c r="I2" i="23"/>
  <c r="J2" i="23"/>
  <c r="I35" i="23"/>
  <c r="J24" i="29"/>
  <c r="I24" i="29"/>
  <c r="I44" i="23"/>
  <c r="I77" i="23"/>
  <c r="J77" i="23"/>
  <c r="F43" i="24"/>
  <c r="J35" i="23"/>
  <c r="J44" i="23"/>
  <c r="F54" i="24"/>
  <c r="H87" i="23"/>
  <c r="F34" i="24"/>
  <c r="F46" i="24"/>
  <c r="D8" i="25" l="1"/>
  <c r="K6" i="25"/>
  <c r="J6" i="25"/>
  <c r="C86" i="23"/>
  <c r="G8" i="25"/>
  <c r="I8" i="25" s="1"/>
  <c r="I6" i="25"/>
  <c r="F86" i="23"/>
  <c r="E8" i="25"/>
  <c r="D86" i="23"/>
  <c r="D57" i="24" s="1"/>
  <c r="F8" i="25"/>
  <c r="E86" i="23"/>
  <c r="E57" i="24" s="1"/>
  <c r="E58" i="24" s="1"/>
  <c r="J25" i="22"/>
  <c r="I25" i="22"/>
  <c r="I87" i="23"/>
  <c r="J87" i="23"/>
  <c r="F23" i="29"/>
  <c r="H23" i="29" s="1"/>
  <c r="E23" i="29"/>
  <c r="D23" i="29"/>
  <c r="C23" i="29"/>
  <c r="D58" i="24" l="1"/>
  <c r="H86" i="23"/>
  <c r="F57" i="24"/>
  <c r="I86" i="23"/>
  <c r="J86" i="23"/>
  <c r="C57" i="24"/>
  <c r="K8" i="25"/>
  <c r="J8" i="25"/>
  <c r="J4" i="15"/>
  <c r="I23" i="29"/>
  <c r="K4" i="15"/>
  <c r="J23" i="29"/>
  <c r="C21" i="22"/>
  <c r="D21" i="22"/>
  <c r="E21" i="22"/>
  <c r="C58" i="24" l="1"/>
  <c r="F58" i="24"/>
  <c r="I23" i="22"/>
  <c r="J21" i="22"/>
  <c r="I21" i="22"/>
  <c r="I24" i="22"/>
  <c r="J23" i="22"/>
  <c r="J24" i="22"/>
  <c r="F22" i="29"/>
  <c r="H22" i="29" s="1"/>
  <c r="E22" i="29"/>
  <c r="D22" i="29"/>
  <c r="C22" i="29"/>
  <c r="I22" i="29" l="1"/>
  <c r="D27" i="22"/>
  <c r="C26" i="29"/>
  <c r="D26" i="29"/>
  <c r="J22" i="29"/>
  <c r="E26" i="29"/>
  <c r="C27" i="22"/>
  <c r="J27" i="22" l="1"/>
  <c r="I27" i="22"/>
  <c r="I26" i="29"/>
  <c r="J26" i="29"/>
  <c r="J4" i="9"/>
  <c r="K6" i="9" l="1"/>
  <c r="K4" i="9"/>
  <c r="J62" i="22" s="1"/>
  <c r="D62" i="22"/>
  <c r="F8" i="9"/>
  <c r="C62" i="22"/>
  <c r="E8" i="9"/>
  <c r="D8" i="9"/>
  <c r="J5" i="9"/>
  <c r="J8" i="9" l="1"/>
  <c r="I20" i="22"/>
  <c r="K5" i="9"/>
  <c r="J20" i="22"/>
  <c r="K8" i="9"/>
  <c r="E6" i="29"/>
  <c r="D6" i="29"/>
  <c r="C6" i="29"/>
  <c r="F6" i="29"/>
  <c r="H6" i="29" s="1"/>
  <c r="E10" i="29"/>
  <c r="D10" i="29"/>
  <c r="C10" i="29"/>
  <c r="F10" i="29"/>
  <c r="H10" i="29" s="1"/>
  <c r="E7" i="29"/>
  <c r="D7" i="29"/>
  <c r="C7" i="29"/>
  <c r="F7" i="29"/>
  <c r="H7" i="29" s="1"/>
  <c r="E5" i="29"/>
  <c r="D5" i="29"/>
  <c r="C5" i="29"/>
  <c r="F5" i="29"/>
  <c r="H5" i="29" s="1"/>
  <c r="F8" i="29"/>
  <c r="H8" i="29" s="1"/>
  <c r="E8" i="29"/>
  <c r="D8" i="29"/>
  <c r="C8" i="29"/>
  <c r="F9" i="29"/>
  <c r="H9" i="29" s="1"/>
  <c r="E9" i="29"/>
  <c r="D9" i="29"/>
  <c r="C9" i="29"/>
  <c r="I10" i="29" l="1"/>
  <c r="I5" i="29"/>
  <c r="I7" i="29"/>
  <c r="I6" i="29"/>
  <c r="I9" i="29"/>
  <c r="I8" i="29"/>
  <c r="J9" i="29"/>
  <c r="J6" i="29"/>
  <c r="J10" i="29"/>
  <c r="J8" i="29"/>
  <c r="J7" i="29"/>
  <c r="J5" i="29"/>
  <c r="F4" i="29"/>
  <c r="H4" i="29" s="1"/>
  <c r="E4" i="29"/>
  <c r="D4" i="29"/>
  <c r="C4" i="29"/>
  <c r="F3" i="29"/>
  <c r="H3" i="29" s="1"/>
  <c r="E3" i="29"/>
  <c r="D3" i="29"/>
  <c r="C3" i="29"/>
  <c r="I4" i="29" l="1"/>
  <c r="I3" i="29"/>
  <c r="J4" i="29"/>
  <c r="J3" i="29"/>
  <c r="F5" i="21"/>
  <c r="G10" i="17" l="1"/>
  <c r="F29" i="29" s="1"/>
  <c r="H29" i="29" s="1"/>
  <c r="F28" i="21"/>
  <c r="F27" i="21"/>
  <c r="F10" i="17" l="1"/>
  <c r="I10" i="17"/>
  <c r="E11" i="21"/>
  <c r="E10" i="17" l="1"/>
  <c r="D29" i="29" s="1"/>
  <c r="E29" i="29"/>
  <c r="D10" i="17"/>
  <c r="E2" i="21"/>
  <c r="C29" i="29" l="1"/>
  <c r="I29" i="29" s="1"/>
  <c r="J10" i="17"/>
  <c r="J29" i="29"/>
  <c r="G9" i="17"/>
  <c r="F28" i="29" s="1"/>
  <c r="H28" i="29" s="1"/>
  <c r="K10" i="17"/>
  <c r="C11" i="21" l="1"/>
  <c r="F9" i="17"/>
  <c r="I9" i="17"/>
  <c r="D11" i="21" l="1"/>
  <c r="C2" i="21"/>
  <c r="E9" i="17"/>
  <c r="D28" i="29" s="1"/>
  <c r="E28" i="29"/>
  <c r="D9" i="17"/>
  <c r="C28" i="29" s="1"/>
  <c r="F15" i="21"/>
  <c r="J28" i="29" l="1"/>
  <c r="J9" i="17"/>
  <c r="D2" i="21"/>
  <c r="K9" i="17"/>
  <c r="F14" i="21"/>
  <c r="I14" i="21" s="1"/>
  <c r="I28" i="29" l="1"/>
  <c r="J14" i="21"/>
  <c r="H14" i="21"/>
  <c r="F13" i="21"/>
  <c r="I13" i="21" s="1"/>
  <c r="J13" i="21" l="1"/>
  <c r="H13" i="21"/>
  <c r="F10" i="21"/>
  <c r="F23" i="21"/>
  <c r="F16" i="21"/>
  <c r="F22" i="21"/>
  <c r="F25" i="21"/>
  <c r="F12" i="21" l="1"/>
  <c r="F19" i="21"/>
  <c r="I19" i="21" s="1"/>
  <c r="F18" i="21"/>
  <c r="F24" i="21"/>
  <c r="F21" i="21"/>
  <c r="H19" i="21" l="1"/>
  <c r="J19" i="21"/>
  <c r="F30" i="21"/>
  <c r="F26" i="21" s="1"/>
  <c r="G2" i="18"/>
  <c r="F17" i="21"/>
  <c r="F3" i="21" l="1"/>
  <c r="F4" i="21"/>
  <c r="F6" i="21" l="1"/>
  <c r="F7" i="21" l="1"/>
  <c r="F9" i="21" l="1"/>
  <c r="F11" i="21" l="1"/>
  <c r="F8" i="21" l="1"/>
  <c r="F2" i="21" l="1"/>
  <c r="J4" i="17" l="1"/>
  <c r="G27" i="21"/>
  <c r="K4" i="17"/>
  <c r="I4" i="17"/>
  <c r="J3" i="17"/>
  <c r="G28" i="21"/>
  <c r="I3" i="17"/>
  <c r="K3" i="17"/>
  <c r="J2" i="17" l="1"/>
  <c r="I2" i="17"/>
  <c r="K2" i="17"/>
  <c r="I28" i="21"/>
  <c r="H28" i="21"/>
  <c r="J28" i="21"/>
  <c r="I27" i="21"/>
  <c r="J27" i="21"/>
  <c r="H27" i="21"/>
  <c r="J4" i="18" l="1"/>
  <c r="G30" i="21"/>
  <c r="I4" i="18"/>
  <c r="K4" i="18"/>
  <c r="I30" i="21" l="1"/>
  <c r="H30" i="21"/>
  <c r="J30" i="21"/>
  <c r="J3" i="18" l="1"/>
  <c r="G29" i="21"/>
  <c r="G26" i="21" s="1"/>
  <c r="I3" i="18"/>
  <c r="K3" i="18"/>
  <c r="J2" i="18" l="1"/>
  <c r="K2" i="18"/>
  <c r="I2" i="18"/>
  <c r="J29" i="21"/>
  <c r="H29" i="21"/>
  <c r="I29" i="21"/>
  <c r="H26" i="21" l="1"/>
  <c r="J26" i="21"/>
  <c r="I26" i="21"/>
  <c r="H2" i="10" l="1"/>
  <c r="G15" i="21"/>
  <c r="I5" i="10"/>
  <c r="J5" i="10"/>
  <c r="K5" i="10"/>
  <c r="I2" i="19"/>
  <c r="J2" i="19"/>
  <c r="K2" i="19"/>
  <c r="G16" i="21"/>
  <c r="J2" i="9"/>
  <c r="G18" i="21"/>
  <c r="G17" i="21" s="1"/>
  <c r="K2" i="9"/>
  <c r="I2" i="9"/>
  <c r="G12" i="21" l="1"/>
  <c r="I16" i="21"/>
  <c r="J16" i="21"/>
  <c r="H16" i="21"/>
  <c r="J18" i="21"/>
  <c r="H18" i="21"/>
  <c r="I18" i="21"/>
  <c r="H15" i="21"/>
  <c r="I15" i="21"/>
  <c r="J15" i="21"/>
  <c r="I2" i="10"/>
  <c r="K2" i="10"/>
  <c r="J2" i="10"/>
  <c r="H12" i="21" l="1"/>
  <c r="J12" i="21"/>
  <c r="I12" i="21"/>
  <c r="I2" i="14" l="1"/>
  <c r="J2" i="14"/>
  <c r="K2" i="14"/>
  <c r="G25" i="21"/>
  <c r="I2" i="13"/>
  <c r="J2" i="13"/>
  <c r="K2" i="13"/>
  <c r="G22" i="21"/>
  <c r="K2" i="16"/>
  <c r="I2" i="16"/>
  <c r="J2" i="16"/>
  <c r="G24" i="21"/>
  <c r="I2" i="15"/>
  <c r="G21" i="21"/>
  <c r="J2" i="15"/>
  <c r="K2" i="15"/>
  <c r="I2" i="1"/>
  <c r="K2" i="1"/>
  <c r="G3" i="21"/>
  <c r="I22" i="21" l="1"/>
  <c r="J22" i="21"/>
  <c r="H22" i="21"/>
  <c r="H3" i="21"/>
  <c r="J3" i="21"/>
  <c r="I3" i="21"/>
  <c r="J21" i="21"/>
  <c r="H21" i="21"/>
  <c r="I21" i="21"/>
  <c r="H25" i="21"/>
  <c r="I25" i="21"/>
  <c r="J25" i="21"/>
  <c r="I24" i="21"/>
  <c r="H24" i="21"/>
  <c r="J24" i="21"/>
  <c r="G5" i="21" l="1"/>
  <c r="K2" i="5"/>
  <c r="I2" i="5"/>
  <c r="J2" i="5"/>
  <c r="J5" i="21" l="1"/>
  <c r="I5" i="21"/>
  <c r="H5" i="21"/>
  <c r="I2" i="2" l="1"/>
  <c r="G4" i="21"/>
  <c r="K2" i="2"/>
  <c r="J2" i="2"/>
  <c r="J4" i="21" l="1"/>
  <c r="I4" i="21"/>
  <c r="H4" i="21"/>
  <c r="I2" i="8" l="1"/>
  <c r="G6" i="21"/>
  <c r="J2" i="8"/>
  <c r="K2" i="8"/>
  <c r="H6" i="21" l="1"/>
  <c r="I6" i="21"/>
  <c r="J6" i="21"/>
  <c r="I2" i="3" l="1"/>
  <c r="G9" i="21"/>
  <c r="J2" i="3"/>
  <c r="K2" i="3"/>
  <c r="J9" i="21" l="1"/>
  <c r="I9" i="21"/>
  <c r="H9" i="21"/>
  <c r="I2" i="25" l="1"/>
  <c r="G11" i="21"/>
  <c r="J2" i="25"/>
  <c r="K2" i="25"/>
  <c r="J11" i="21" l="1"/>
  <c r="I11" i="21"/>
  <c r="H11" i="21"/>
  <c r="I2" i="4" l="1"/>
  <c r="G8" i="21"/>
  <c r="J2" i="4"/>
  <c r="K2" i="4"/>
  <c r="H8" i="21" l="1"/>
  <c r="J8" i="21"/>
  <c r="I8" i="21"/>
  <c r="G7" i="21" l="1"/>
  <c r="K2" i="6"/>
  <c r="I2" i="6"/>
  <c r="J2" i="6"/>
  <c r="H7" i="21" l="1"/>
  <c r="J7" i="21"/>
  <c r="I7" i="21"/>
  <c r="C31" i="21" l="1"/>
  <c r="C35" i="21"/>
  <c r="D35" i="21" l="1"/>
  <c r="D31" i="21"/>
  <c r="E31" i="21"/>
  <c r="E35" i="21"/>
  <c r="F31" i="21" l="1"/>
  <c r="F35" i="21"/>
  <c r="I2" i="7" l="1"/>
  <c r="K2" i="7"/>
  <c r="J2" i="7"/>
  <c r="G10" i="21"/>
  <c r="J2" i="21" l="1"/>
  <c r="J10" i="21"/>
  <c r="H10" i="21"/>
  <c r="I10" i="21"/>
  <c r="I2" i="21" l="1"/>
  <c r="H2" i="21"/>
  <c r="I2" i="12"/>
  <c r="J2" i="12"/>
  <c r="K2" i="12"/>
  <c r="G23" i="21"/>
  <c r="I23" i="21" l="1"/>
  <c r="J23" i="21"/>
  <c r="H23" i="21"/>
  <c r="H17" i="21" l="1"/>
  <c r="I17" i="21"/>
  <c r="J17" i="21"/>
  <c r="J32" i="21" l="1"/>
  <c r="H32" i="21"/>
  <c r="I32" i="21"/>
  <c r="I33" i="21" l="1"/>
  <c r="J33" i="21"/>
  <c r="H33" i="21"/>
  <c r="I34" i="21" l="1"/>
  <c r="J34" i="21"/>
  <c r="H34" i="21"/>
  <c r="G31" i="21"/>
  <c r="G35" i="21"/>
  <c r="I31" i="21" l="1"/>
  <c r="H31" i="21"/>
  <c r="J31" i="21"/>
  <c r="I35" i="21"/>
  <c r="H35" i="21"/>
  <c r="J35" i="21"/>
</calcChain>
</file>

<file path=xl/sharedStrings.xml><?xml version="1.0" encoding="utf-8"?>
<sst xmlns="http://schemas.openxmlformats.org/spreadsheetml/2006/main" count="2365" uniqueCount="589">
  <si>
    <t>Measure</t>
  </si>
  <si>
    <t>Units</t>
  </si>
  <si>
    <t>2013-14</t>
  </si>
  <si>
    <t>2014-15</t>
  </si>
  <si>
    <t>2015-16</t>
  </si>
  <si>
    <t>GVP</t>
  </si>
  <si>
    <t>Production</t>
  </si>
  <si>
    <t>Price</t>
  </si>
  <si>
    <t xml:space="preserve">Total </t>
  </si>
  <si>
    <t>Destination</t>
  </si>
  <si>
    <t>Imports</t>
  </si>
  <si>
    <t>$m</t>
  </si>
  <si>
    <t>000 tonnes</t>
  </si>
  <si>
    <t>$/tonne</t>
  </si>
  <si>
    <t>Export Value</t>
  </si>
  <si>
    <t>Data Source PDI Shortname</t>
  </si>
  <si>
    <t>Data Source Full Reference</t>
  </si>
  <si>
    <t>Notes</t>
  </si>
  <si>
    <t>ABS (2017a) + DPI (2017a)</t>
  </si>
  <si>
    <t>2015-16 is from ABS &amp; 2016-17 is DPI estimate</t>
  </si>
  <si>
    <t>Area Planted</t>
  </si>
  <si>
    <t>Yield</t>
  </si>
  <si>
    <t>000 ha</t>
  </si>
  <si>
    <t>tonnes/ha</t>
  </si>
  <si>
    <t>ABARES (2017a)</t>
  </si>
  <si>
    <t>ABARES (2017b)</t>
  </si>
  <si>
    <t>GTA (2017)</t>
  </si>
  <si>
    <t>$/tonne (Canola)</t>
  </si>
  <si>
    <t>tonnes/ha (Canola)</t>
  </si>
  <si>
    <t>$/bale</t>
  </si>
  <si>
    <t>tonnes/ha (Chickpeas)</t>
  </si>
  <si>
    <t>$/tonne (Chickpeas)</t>
  </si>
  <si>
    <t>tonnes/ha (Cane)</t>
  </si>
  <si>
    <t>000 tonnes (Cane)</t>
  </si>
  <si>
    <t>ASMC (2017)</t>
  </si>
  <si>
    <t>000 bales (227kg)</t>
  </si>
  <si>
    <t>USDA (2017a)</t>
  </si>
  <si>
    <t>MLA (2017a)</t>
  </si>
  <si>
    <t>Production (Slaughter)</t>
  </si>
  <si>
    <t>Ac/kg</t>
  </si>
  <si>
    <t>000 head</t>
  </si>
  <si>
    <t>Cattle Herd (NSW)</t>
  </si>
  <si>
    <t>Cattle On Feed (NSW)</t>
  </si>
  <si>
    <t>ABS (2017b)</t>
  </si>
  <si>
    <r>
      <t xml:space="preserve">United States Department of Agriculture (2017), </t>
    </r>
    <r>
      <rPr>
        <i/>
        <sz val="11"/>
        <rFont val="Calibri"/>
        <family val="2"/>
        <scheme val="minor"/>
      </rPr>
      <t xml:space="preserve">Production, Supply and Distribution Database, </t>
    </r>
    <r>
      <rPr>
        <sz val="11"/>
        <rFont val="Calibri"/>
        <family val="2"/>
        <scheme val="minor"/>
      </rPr>
      <t>last accessed July 2017</t>
    </r>
  </si>
  <si>
    <t>million litres</t>
  </si>
  <si>
    <t>Ac/litre</t>
  </si>
  <si>
    <t>% of National</t>
  </si>
  <si>
    <t>Price (Gross Unit Value)</t>
  </si>
  <si>
    <t>Production (Chicken Meat)</t>
  </si>
  <si>
    <t>NSW Beef Cattle Herd Contribution</t>
  </si>
  <si>
    <t>GVP (Lamb, Sheep)</t>
  </si>
  <si>
    <t>Production (Lamb Slaughter)</t>
  </si>
  <si>
    <t>Production (Mutton Slaughter)</t>
  </si>
  <si>
    <t>000 Head</t>
  </si>
  <si>
    <t>Ac/kg (cwt)</t>
  </si>
  <si>
    <t>ABS (2017c)</t>
  </si>
  <si>
    <t>Price (EMI)</t>
  </si>
  <si>
    <t>c/kg (clean)</t>
  </si>
  <si>
    <t>ABARES (2016a)</t>
  </si>
  <si>
    <t>Implied using ABARES production &amp; GVP</t>
  </si>
  <si>
    <t>million dozen</t>
  </si>
  <si>
    <t>GVP (Vegetables)</t>
  </si>
  <si>
    <t>GVP (Nurseries, Cut Flowers, Turf)</t>
  </si>
  <si>
    <t>Australian Bureau of Statistics (2017), Value of Agricultural Commodities Produced 2015-16, July 2017, last accessed July 2017 
&lt;http://www.abs.gov.au/ausstats/abs@.nsf/mf/7503.0&gt;</t>
  </si>
  <si>
    <t>Wheat</t>
  </si>
  <si>
    <t>Barley</t>
  </si>
  <si>
    <t>Rice</t>
  </si>
  <si>
    <t>Sorghum</t>
  </si>
  <si>
    <t>Oilseeds</t>
  </si>
  <si>
    <t>Pulses</t>
  </si>
  <si>
    <t>Sugar Cane</t>
  </si>
  <si>
    <t>Vegetables</t>
  </si>
  <si>
    <t>Wine Grapes</t>
  </si>
  <si>
    <t>Poultry</t>
  </si>
  <si>
    <t>Pigs</t>
  </si>
  <si>
    <t>Wool</t>
  </si>
  <si>
    <t>Milk</t>
  </si>
  <si>
    <t>Eggs</t>
  </si>
  <si>
    <r>
      <t xml:space="preserve">IHS Global Trade Atlas (2017), </t>
    </r>
    <r>
      <rPr>
        <i/>
        <sz val="11"/>
        <color theme="1"/>
        <rFont val="Calibri"/>
        <family val="2"/>
        <scheme val="minor"/>
      </rPr>
      <t xml:space="preserve">Unpublished trade data accessed via subscription service, </t>
    </r>
    <r>
      <rPr>
        <sz val="11"/>
        <color theme="1"/>
        <rFont val="Calibri"/>
        <family val="2"/>
        <scheme val="minor"/>
      </rPr>
      <t>last accessed August 2017.</t>
    </r>
  </si>
  <si>
    <t>Footnotes</t>
  </si>
  <si>
    <t>bales/ha</t>
  </si>
  <si>
    <t>GVP (Fruit, Nut &amp; Table Grapes)</t>
  </si>
  <si>
    <t>GVP (Total excl. Wine Grapes)</t>
  </si>
  <si>
    <t>CPI (Sydney)</t>
  </si>
  <si>
    <t>ABS (2017d)</t>
  </si>
  <si>
    <t>ABS (2017e)</t>
  </si>
  <si>
    <t>Price (EYCI)</t>
  </si>
  <si>
    <t>Price (NSW Saleyard Medium Cow)</t>
  </si>
  <si>
    <t>Price (NSW Saleyard Trade Steer)</t>
  </si>
  <si>
    <t>Production (NSW Slaughter)</t>
  </si>
  <si>
    <t>Production (NSW Head Adult &amp; Calves)</t>
  </si>
  <si>
    <t>kg/head</t>
  </si>
  <si>
    <t>N/A</t>
  </si>
  <si>
    <t>Average Carcass Weight (Adult &amp; Calves)</t>
  </si>
  <si>
    <t>Price (ESTLI)</t>
  </si>
  <si>
    <t>Price (Eastern States Mutton Indicator)</t>
  </si>
  <si>
    <t>Cows in Milk &amp; Dry (NSW)</t>
  </si>
  <si>
    <t>NSW Cows in Milk &amp; Dry Contribution</t>
  </si>
  <si>
    <t>All data prior to 2015-16 is sourced from ABARES, while recent data is sourced from Dairy Australia</t>
  </si>
  <si>
    <t>NSW Egg Production Contribution</t>
  </si>
  <si>
    <t>million head</t>
  </si>
  <si>
    <t>Meat Poultry Flock (NSW)</t>
  </si>
  <si>
    <t>$/kg</t>
  </si>
  <si>
    <t>Price (NSW milk)</t>
  </si>
  <si>
    <t>Price (NSW milk solids)</t>
  </si>
  <si>
    <t>Layers &amp; Pullets Flock (NSW)</t>
  </si>
  <si>
    <t>Production (NSW Eggs)</t>
  </si>
  <si>
    <t>Price (National)</t>
  </si>
  <si>
    <t>Ac/dozen</t>
  </si>
  <si>
    <r>
      <t>000 m</t>
    </r>
    <r>
      <rPr>
        <vertAlign val="superscript"/>
        <sz val="11"/>
        <color theme="1"/>
        <rFont val="Calibri"/>
        <family val="2"/>
        <scheme val="minor"/>
      </rPr>
      <t>3</t>
    </r>
  </si>
  <si>
    <r>
      <t>$/m</t>
    </r>
    <r>
      <rPr>
        <vertAlign val="superscript"/>
        <sz val="11"/>
        <color theme="1"/>
        <rFont val="Calibri"/>
        <family val="2"/>
        <scheme val="minor"/>
      </rPr>
      <t>3</t>
    </r>
  </si>
  <si>
    <t>DPI (2017b)</t>
  </si>
  <si>
    <t>See below</t>
  </si>
  <si>
    <t>DPI (2017c)</t>
  </si>
  <si>
    <t>million dozens</t>
  </si>
  <si>
    <t>Production (Sydney &amp; Pacific Rock Oysters)</t>
  </si>
  <si>
    <t>Production (Wild Caught Harvest)</t>
  </si>
  <si>
    <t>Cotton Lint</t>
  </si>
  <si>
    <t>Horticulture</t>
  </si>
  <si>
    <t>Fruit, Nuts, Table Grapes</t>
  </si>
  <si>
    <t>Nurseries, Cut Flowers, Turf</t>
  </si>
  <si>
    <t>Beef Cattle</t>
  </si>
  <si>
    <t>Lamb, Mutton &amp; Goat</t>
  </si>
  <si>
    <t>Lamb &amp; Mutton</t>
  </si>
  <si>
    <t>Pork</t>
  </si>
  <si>
    <t>Forestry</t>
  </si>
  <si>
    <t>Hardwood</t>
  </si>
  <si>
    <t>Softwood</t>
  </si>
  <si>
    <t>Fisheries</t>
  </si>
  <si>
    <t>Wild Caught</t>
  </si>
  <si>
    <t>TOTAL GVP</t>
  </si>
  <si>
    <t>Horticulture &amp; Viticulture Sub-total</t>
  </si>
  <si>
    <t>Broadacre Cropping Sub-total</t>
  </si>
  <si>
    <t>Livestock &amp; Livestock Products Sub-total</t>
  </si>
  <si>
    <t>Forestry &amp; Fisheries Sub-total</t>
  </si>
  <si>
    <t>Year On Year Change (%)</t>
  </si>
  <si>
    <t xml:space="preserve">Australian Bureau of Agricultural and Resource Economic Sciences (2016), Australian Forest and Wood Products Statistics, September &amp; Decempber Quarters 2016, last accessed August 2017 </t>
  </si>
  <si>
    <r>
      <t>Other Crops</t>
    </r>
    <r>
      <rPr>
        <i/>
        <vertAlign val="superscript"/>
        <sz val="11"/>
        <color theme="1"/>
        <rFont val="Calibri"/>
        <family val="2"/>
        <scheme val="minor"/>
      </rPr>
      <t>b</t>
    </r>
  </si>
  <si>
    <r>
      <rPr>
        <vertAlign val="superscript"/>
        <sz val="11"/>
        <color theme="1"/>
        <rFont val="Calibri"/>
        <family val="2"/>
        <scheme val="minor"/>
      </rPr>
      <t>a</t>
    </r>
    <r>
      <rPr>
        <sz val="11"/>
        <color theme="1"/>
        <rFont val="Calibri"/>
        <family val="2"/>
        <scheme val="minor"/>
      </rPr>
      <t xml:space="preserve"> GVP data is based on the ABS new threshold of $40k with the exception of forestry &amp; fisheries which are sourced elswhere</t>
    </r>
  </si>
  <si>
    <r>
      <rPr>
        <vertAlign val="superscript"/>
        <sz val="11"/>
        <color theme="1"/>
        <rFont val="Calibri"/>
        <family val="2"/>
        <scheme val="minor"/>
      </rPr>
      <t>e</t>
    </r>
    <r>
      <rPr>
        <sz val="11"/>
        <color theme="1"/>
        <rFont val="Calibri"/>
        <family val="2"/>
        <scheme val="minor"/>
      </rPr>
      <t xml:space="preserve"> DPI estimate only, subject to revision</t>
    </r>
  </si>
  <si>
    <r>
      <t>Goat (excl. Rangeland Goats)</t>
    </r>
    <r>
      <rPr>
        <i/>
        <vertAlign val="superscript"/>
        <sz val="11"/>
        <color theme="1"/>
        <rFont val="Calibri"/>
        <family val="2"/>
        <scheme val="minor"/>
      </rPr>
      <t>c</t>
    </r>
  </si>
  <si>
    <r>
      <rPr>
        <vertAlign val="superscript"/>
        <sz val="11"/>
        <color theme="1"/>
        <rFont val="Calibri"/>
        <family val="2"/>
        <scheme val="minor"/>
      </rPr>
      <t xml:space="preserve">c </t>
    </r>
    <r>
      <rPr>
        <sz val="11"/>
        <color theme="1"/>
        <rFont val="Calibri"/>
        <family val="2"/>
        <scheme val="minor"/>
      </rPr>
      <t>Goat meat not defined explicitly for each year, but assumed from historic data. ABS intermittently indicates this does not include Rangeland ("Feral") Goats.</t>
    </r>
  </si>
  <si>
    <t>Production (Softwood)</t>
  </si>
  <si>
    <t>Production (Hardwood)</t>
  </si>
  <si>
    <r>
      <rPr>
        <vertAlign val="superscript"/>
        <sz val="11"/>
        <color theme="1"/>
        <rFont val="Calibri"/>
        <family val="2"/>
        <scheme val="minor"/>
      </rPr>
      <t xml:space="preserve">g </t>
    </r>
    <r>
      <rPr>
        <sz val="11"/>
        <color theme="1"/>
        <rFont val="Calibri"/>
        <family val="2"/>
        <scheme val="minor"/>
      </rPr>
      <t>Sydney &amp; Pacific Rock Oysters only</t>
    </r>
  </si>
  <si>
    <t xml:space="preserve">Broadacre Cropping </t>
  </si>
  <si>
    <t xml:space="preserve">Horticulture &amp; Viticulture </t>
  </si>
  <si>
    <t xml:space="preserve">Livestock &amp; Livestock Products </t>
  </si>
  <si>
    <t xml:space="preserve">Forestry &amp; Fisheries </t>
  </si>
  <si>
    <r>
      <t>Horticulture Sub-total</t>
    </r>
    <r>
      <rPr>
        <b/>
        <vertAlign val="superscript"/>
        <sz val="11"/>
        <color theme="1"/>
        <rFont val="Calibri"/>
        <family val="2"/>
        <scheme val="minor"/>
      </rPr>
      <t>h</t>
    </r>
  </si>
  <si>
    <t>TOTAL EXPORTS</t>
  </si>
  <si>
    <t>Industry Exports - Total &amp; Top 3 Destinations</t>
  </si>
  <si>
    <t xml:space="preserve">Industry Imports - Total </t>
  </si>
  <si>
    <r>
      <rPr>
        <vertAlign val="superscript"/>
        <sz val="11"/>
        <color theme="1"/>
        <rFont val="Calibri"/>
        <family val="2"/>
        <scheme val="minor"/>
      </rPr>
      <t xml:space="preserve">s </t>
    </r>
    <r>
      <rPr>
        <sz val="11"/>
        <color theme="1"/>
        <rFont val="Calibri"/>
        <family val="2"/>
        <scheme val="minor"/>
      </rPr>
      <t>subject to revision</t>
    </r>
  </si>
  <si>
    <t>TOTAL IMPORTS</t>
  </si>
  <si>
    <t xml:space="preserve">Industry Trade Balance - Total </t>
  </si>
  <si>
    <t>TOTAL TRADE BALANCE</t>
  </si>
  <si>
    <r>
      <rPr>
        <vertAlign val="superscript"/>
        <sz val="11"/>
        <color theme="1"/>
        <rFont val="Calibri"/>
        <family val="2"/>
        <scheme val="minor"/>
      </rPr>
      <t>j</t>
    </r>
    <r>
      <rPr>
        <sz val="11"/>
        <color theme="1"/>
        <rFont val="Calibri"/>
        <family val="2"/>
        <scheme val="minor"/>
      </rPr>
      <t xml:space="preserve"> Barley reporting restrictions apply &amp; data may not reflect the full trade value</t>
    </r>
  </si>
  <si>
    <r>
      <rPr>
        <vertAlign val="superscript"/>
        <sz val="11"/>
        <color theme="1"/>
        <rFont val="Calibri"/>
        <family val="2"/>
        <scheme val="minor"/>
      </rPr>
      <t xml:space="preserve">h </t>
    </r>
    <r>
      <rPr>
        <sz val="11"/>
        <color theme="1"/>
        <rFont val="Calibri"/>
        <family val="2"/>
        <scheme val="minor"/>
      </rPr>
      <t>Wine is excluded from the total, due to classification wine becomes a processed product post farm gate and therefore excluded</t>
    </r>
  </si>
  <si>
    <r>
      <rPr>
        <vertAlign val="superscript"/>
        <sz val="11"/>
        <color theme="1"/>
        <rFont val="Calibri"/>
        <family val="2"/>
        <scheme val="minor"/>
      </rPr>
      <t>d</t>
    </r>
    <r>
      <rPr>
        <sz val="11"/>
        <color theme="1"/>
        <rFont val="Calibri"/>
        <family val="2"/>
        <scheme val="minor"/>
      </rPr>
      <t xml:space="preserve"> 2016-17 data sourced from another provider to prior years and therefore not directly comparable</t>
    </r>
  </si>
  <si>
    <t>Production (Oranges, Mandarins)</t>
  </si>
  <si>
    <t>Production (Macadamias, Almonds)</t>
  </si>
  <si>
    <t>Production (Melons)</t>
  </si>
  <si>
    <t>Production (Mushrooms)</t>
  </si>
  <si>
    <t>Area (Nurseries, Cut Flowers, Turf)</t>
  </si>
  <si>
    <t>Production (Potatoes)</t>
  </si>
  <si>
    <t>Fruit (Oranges, Mandarins)</t>
  </si>
  <si>
    <t>Nuts (Macadamias, Almonds</t>
  </si>
  <si>
    <t>Vegetables (Melons)</t>
  </si>
  <si>
    <t>Vegetables (Mushrooms)</t>
  </si>
  <si>
    <t>Vegetables (Potatoes)</t>
  </si>
  <si>
    <r>
      <rPr>
        <vertAlign val="superscript"/>
        <sz val="11"/>
        <color theme="1"/>
        <rFont val="Calibri"/>
        <family val="2"/>
        <scheme val="minor"/>
      </rPr>
      <t xml:space="preserve">b </t>
    </r>
    <r>
      <rPr>
        <sz val="11"/>
        <color theme="1"/>
        <rFont val="Calibri"/>
        <family val="2"/>
        <scheme val="minor"/>
      </rPr>
      <t>Includes other broadacre crops, hay &amp; silage</t>
    </r>
  </si>
  <si>
    <t>Industry Production Volumes</t>
  </si>
  <si>
    <r>
      <t>GVP (Goat)</t>
    </r>
    <r>
      <rPr>
        <vertAlign val="superscript"/>
        <sz val="11"/>
        <color theme="1"/>
        <rFont val="Calibri"/>
        <family val="2"/>
        <scheme val="minor"/>
      </rPr>
      <t>c</t>
    </r>
  </si>
  <si>
    <t>Plantation Areas (Softwood)</t>
  </si>
  <si>
    <t>Plantation Areas (Hardwood)</t>
  </si>
  <si>
    <r>
      <rPr>
        <vertAlign val="superscript"/>
        <sz val="11"/>
        <color theme="1"/>
        <rFont val="Calibri"/>
        <family val="2"/>
        <scheme val="minor"/>
      </rPr>
      <t xml:space="preserve">k </t>
    </r>
    <r>
      <rPr>
        <sz val="11"/>
        <color theme="1"/>
        <rFont val="Calibri"/>
        <family val="2"/>
        <scheme val="minor"/>
      </rPr>
      <t>Includes Maize, Oats &amp; Triticale. Hay &amp; silage is excluded from this data</t>
    </r>
  </si>
  <si>
    <t>Cows in Milk &amp; Dry</t>
  </si>
  <si>
    <t>Sheep Flock (NSW Total)</t>
  </si>
  <si>
    <t>Non Merino Ewe Flock (NSW 1 Year Or Greater)</t>
  </si>
  <si>
    <t>Merino Ewe Flock (NSW 1 Year Or Greater)</t>
  </si>
  <si>
    <t>Lamb &amp; Mutton Total</t>
  </si>
  <si>
    <t>Non Merino Ewes - 1 Year or Greater</t>
  </si>
  <si>
    <t>Merino Ewes - 1 Year or Greater</t>
  </si>
  <si>
    <t>Pig Herd (NSW Total)</t>
  </si>
  <si>
    <t>Industry Production Areas (Cropping &amp; Forestry)</t>
  </si>
  <si>
    <t>Industry Livestock Numbers (Livestock)</t>
  </si>
  <si>
    <t>Layers &amp; Pullets</t>
  </si>
  <si>
    <t>Meat Poultry</t>
  </si>
  <si>
    <r>
      <rPr>
        <vertAlign val="superscript"/>
        <sz val="11"/>
        <color theme="1"/>
        <rFont val="Calibri"/>
        <family val="2"/>
        <scheme val="minor"/>
      </rPr>
      <t xml:space="preserve">f </t>
    </r>
    <r>
      <rPr>
        <sz val="11"/>
        <color theme="1"/>
        <rFont val="Calibri"/>
        <family val="2"/>
        <scheme val="minor"/>
      </rPr>
      <t>Goat production data sourced from a seperate source to GVP data. Production data includes rangeland &amp; managed goats</t>
    </r>
  </si>
  <si>
    <r>
      <t>Area Planted</t>
    </r>
    <r>
      <rPr>
        <vertAlign val="superscript"/>
        <sz val="11"/>
        <color theme="1"/>
        <rFont val="Calibri"/>
        <family val="2"/>
        <scheme val="minor"/>
      </rPr>
      <t>k</t>
    </r>
  </si>
  <si>
    <r>
      <t>Production</t>
    </r>
    <r>
      <rPr>
        <vertAlign val="superscript"/>
        <sz val="11"/>
        <color theme="1"/>
        <rFont val="Calibri"/>
        <family val="2"/>
        <scheme val="minor"/>
      </rPr>
      <t>k</t>
    </r>
  </si>
  <si>
    <r>
      <rPr>
        <vertAlign val="superscript"/>
        <sz val="11"/>
        <color theme="1"/>
        <rFont val="Calibri"/>
        <family val="2"/>
        <scheme val="minor"/>
      </rPr>
      <t xml:space="preserve">i </t>
    </r>
    <r>
      <rPr>
        <sz val="11"/>
        <color theme="1"/>
        <rFont val="Calibri"/>
        <family val="2"/>
        <scheme val="minor"/>
      </rPr>
      <t>Includes but not exclusive to other cereals, other broadacre crops, hay &amp; silage, animal products n.e.d</t>
    </r>
  </si>
  <si>
    <t>Dairy Herd Total (NSW)</t>
  </si>
  <si>
    <t>Dairy Herd Total</t>
  </si>
  <si>
    <t>Agriculture</t>
  </si>
  <si>
    <t>Support Services</t>
  </si>
  <si>
    <t>No.</t>
  </si>
  <si>
    <t>Total</t>
  </si>
  <si>
    <t>A00 Agriculture, Forestry and Fishing nfd</t>
  </si>
  <si>
    <t>010 Agriculture nfd</t>
  </si>
  <si>
    <t>011 Nursery and Floriculture Production</t>
  </si>
  <si>
    <t>012 Mushroom and Vegetable Growing</t>
  </si>
  <si>
    <t>013 Fruit and Tree Nut Growing</t>
  </si>
  <si>
    <t>014 Sheep, Beef Cattle and Grain Farming</t>
  </si>
  <si>
    <t>015 Other Crop Growing</t>
  </si>
  <si>
    <t>016 Dairy Cattle Farming</t>
  </si>
  <si>
    <t>017 Poultry Farming</t>
  </si>
  <si>
    <t>018 Deer Farming</t>
  </si>
  <si>
    <t>019 Other Livestock Farming</t>
  </si>
  <si>
    <t>020 Aquaculture</t>
  </si>
  <si>
    <t>030 Forestry and Logging</t>
  </si>
  <si>
    <t>040 Fishing, Hunting and Trapping nfd</t>
  </si>
  <si>
    <t>041 Fishing</t>
  </si>
  <si>
    <t>042 Hunting and Trapping</t>
  </si>
  <si>
    <t>051 Forestry Support Services</t>
  </si>
  <si>
    <t>052 Agriculture and Fishing Support Services</t>
  </si>
  <si>
    <t>110 Food Product Manufacturing nfd</t>
  </si>
  <si>
    <t>111 Meat and Meat Product Manufacturing</t>
  </si>
  <si>
    <t>112 Seafood Processing</t>
  </si>
  <si>
    <t>113 Dairy Product Manufacturing</t>
  </si>
  <si>
    <t>114 Fruit and Vegetable Processing</t>
  </si>
  <si>
    <t>115 Oil and Fat Manufacturing</t>
  </si>
  <si>
    <t>116 Grain Mill and Cereal Product Manufacturing</t>
  </si>
  <si>
    <t>117 Bakery Product Manufacturing</t>
  </si>
  <si>
    <t>118 Sugar and Confectionery Manufacturing</t>
  </si>
  <si>
    <t>119 Other Food Product Manufacturing</t>
  </si>
  <si>
    <t>141 Log Sawmilling and Timber Dressing</t>
  </si>
  <si>
    <t>149 Other Wood Product Manufacturing</t>
  </si>
  <si>
    <t>150 Pulp, Paper and Converted Paper Product Manufacturing nfd</t>
  </si>
  <si>
    <t>151 Pulp, Paper and Paperboard Manufacturing</t>
  </si>
  <si>
    <t>152 Converted Paper Product Manufacturing</t>
  </si>
  <si>
    <t>ANZSIC Code</t>
  </si>
  <si>
    <t>PI Sector</t>
  </si>
  <si>
    <t>Direct/Manufacturing</t>
  </si>
  <si>
    <t>Agriculture, Forestry and Fishing Sub-total</t>
  </si>
  <si>
    <t>Agriculture Sub-total</t>
  </si>
  <si>
    <t>Aquaculture Sub-total</t>
  </si>
  <si>
    <t>Forestry and Logging Sub-total</t>
  </si>
  <si>
    <t>Fishing, Hunting and Trapping Sub-total</t>
  </si>
  <si>
    <t>Food Product Manufacturing Sub-total</t>
  </si>
  <si>
    <t>Wood Product Manufacturing Sub-total</t>
  </si>
  <si>
    <t>Pulp, Paper and Converted Paper Product Manufacturing Sub-total</t>
  </si>
  <si>
    <t>ABS (2017f)</t>
  </si>
  <si>
    <r>
      <t xml:space="preserve">Australian Bureau of Statistics (2017), </t>
    </r>
    <r>
      <rPr>
        <i/>
        <sz val="11"/>
        <color theme="1"/>
        <rFont val="Calibri"/>
        <family val="2"/>
        <scheme val="minor"/>
      </rPr>
      <t>Labour Force, Australia, Detailed, Quarterly, May 2017</t>
    </r>
    <r>
      <rPr>
        <sz val="11"/>
        <color theme="1"/>
        <rFont val="Calibri"/>
        <family val="2"/>
        <scheme val="minor"/>
      </rPr>
      <t>, last accessed Septmeber 2017 &lt;http://www.abs.gov.au/AUSSTATS/abs@.nsf/Lookup/6291.0.55.003Main+Features1May%202017?OpenDocument&gt;</t>
    </r>
  </si>
  <si>
    <r>
      <t xml:space="preserve">Australian Bureau of Statistics (2017), </t>
    </r>
    <r>
      <rPr>
        <i/>
        <sz val="11"/>
        <color theme="1"/>
        <rFont val="Calibri"/>
        <family val="2"/>
        <scheme val="minor"/>
      </rPr>
      <t>Counts of Australian Businesses, including Entries and Exits, Jun 2012 to Jun 2016</t>
    </r>
    <r>
      <rPr>
        <sz val="11"/>
        <color theme="1"/>
        <rFont val="Calibri"/>
        <family val="2"/>
        <scheme val="minor"/>
      </rPr>
      <t>, last accessed Septmeber 2017 &lt;http://www.abs.gov.au/ausstats/abs@.nsf/mf/8165.0&gt;</t>
    </r>
  </si>
  <si>
    <t>Sources</t>
  </si>
  <si>
    <t>Jobs &amp; Businesses Agreggated</t>
  </si>
  <si>
    <t>Jobs &amp; Businesses By Industry Group</t>
  </si>
  <si>
    <t>Agriculture, Forestry and Fishing Support Services Sub-total</t>
  </si>
  <si>
    <r>
      <t>Directly employed</t>
    </r>
    <r>
      <rPr>
        <i/>
        <vertAlign val="superscript"/>
        <sz val="11"/>
        <color theme="1"/>
        <rFont val="Calibri"/>
        <family val="2"/>
        <scheme val="minor"/>
      </rPr>
      <t>l</t>
    </r>
  </si>
  <si>
    <r>
      <t>Manufacturing</t>
    </r>
    <r>
      <rPr>
        <i/>
        <vertAlign val="superscript"/>
        <sz val="11"/>
        <color theme="1"/>
        <rFont val="Calibri"/>
        <family val="2"/>
        <scheme val="minor"/>
      </rPr>
      <t>l</t>
    </r>
  </si>
  <si>
    <r>
      <rPr>
        <vertAlign val="superscript"/>
        <sz val="11"/>
        <color theme="1"/>
        <rFont val="Calibri"/>
        <family val="2"/>
        <scheme val="minor"/>
      </rPr>
      <t xml:space="preserve">l </t>
    </r>
    <r>
      <rPr>
        <sz val="11"/>
        <color theme="1"/>
        <rFont val="Calibri"/>
        <family val="2"/>
        <scheme val="minor"/>
      </rPr>
      <t>DPI estimate calculated as average total employment over four quarters to May 2017 of labour force employment data by relevant to each industry. Relevant ANZSIC divisions are Agriculture, Forestry and Fishing (division A) and relevant sub divisions of Manufacturing (division C). Data was sourced from ABS (2017e)</t>
    </r>
  </si>
  <si>
    <r>
      <rPr>
        <vertAlign val="superscript"/>
        <sz val="11"/>
        <color theme="1"/>
        <rFont val="Calibri"/>
        <family val="2"/>
        <scheme val="minor"/>
      </rPr>
      <t>m</t>
    </r>
    <r>
      <rPr>
        <sz val="11"/>
        <color theme="1"/>
        <rFont val="Calibri"/>
        <family val="2"/>
        <scheme val="minor"/>
      </rPr>
      <t xml:space="preserve"> DPI estimate using the same ANZSIC classifications in footnote l. Data is based on June 2016 using source ABS (2017f)</t>
    </r>
  </si>
  <si>
    <r>
      <rPr>
        <vertAlign val="superscript"/>
        <sz val="11"/>
        <color theme="1"/>
        <rFont val="Calibri"/>
        <family val="2"/>
        <scheme val="minor"/>
      </rPr>
      <t>n</t>
    </r>
    <r>
      <rPr>
        <sz val="11"/>
        <color theme="1"/>
        <rFont val="Calibri"/>
        <family val="2"/>
        <scheme val="minor"/>
      </rPr>
      <t xml:space="preserve"> Negative values denote a net import trade flow</t>
    </r>
  </si>
  <si>
    <r>
      <rPr>
        <vertAlign val="superscript"/>
        <sz val="11"/>
        <color theme="1"/>
        <rFont val="Calibri"/>
        <family val="2"/>
        <scheme val="minor"/>
      </rPr>
      <t xml:space="preserve">p </t>
    </r>
    <r>
      <rPr>
        <sz val="11"/>
        <color theme="1"/>
        <rFont val="Calibri"/>
        <family val="2"/>
        <scheme val="minor"/>
      </rPr>
      <t>Some values excluded due to lack of data availability</t>
    </r>
  </si>
  <si>
    <r>
      <rPr>
        <vertAlign val="superscript"/>
        <sz val="11"/>
        <color theme="1"/>
        <rFont val="Calibri"/>
        <family val="2"/>
        <scheme val="minor"/>
      </rPr>
      <t>o</t>
    </r>
    <r>
      <rPr>
        <sz val="11"/>
        <color theme="1"/>
        <rFont val="Calibri"/>
        <family val="2"/>
        <scheme val="minor"/>
      </rPr>
      <t xml:space="preserve"> From 2010-11 onwards, GVP is based on the ABS new EVAO threshold of greater than $40k, prior to this values are based on EVAO of greater than $5k</t>
    </r>
  </si>
  <si>
    <r>
      <rPr>
        <vertAlign val="superscript"/>
        <sz val="11"/>
        <color theme="1"/>
        <rFont val="Calibri"/>
        <family val="2"/>
        <scheme val="minor"/>
      </rPr>
      <t>p</t>
    </r>
    <r>
      <rPr>
        <sz val="11"/>
        <color theme="1"/>
        <rFont val="Calibri"/>
        <family val="2"/>
        <scheme val="minor"/>
      </rPr>
      <t xml:space="preserve"> Some values excluded due to lack of data availability</t>
    </r>
  </si>
  <si>
    <r>
      <rPr>
        <vertAlign val="superscript"/>
        <sz val="11"/>
        <color theme="1"/>
        <rFont val="Calibri"/>
        <family val="2"/>
        <scheme val="minor"/>
      </rPr>
      <t>q</t>
    </r>
    <r>
      <rPr>
        <sz val="11"/>
        <color theme="1"/>
        <rFont val="Calibri"/>
        <family val="2"/>
        <scheme val="minor"/>
      </rPr>
      <t xml:space="preserve"> All data prior to 2015-16 is sourced from ABARES, while recent data is sourced from Dairy Australia. Data may not be directly comparable</t>
    </r>
  </si>
  <si>
    <r>
      <rPr>
        <vertAlign val="superscript"/>
        <sz val="11"/>
        <color theme="1"/>
        <rFont val="Calibri"/>
        <family val="2"/>
        <scheme val="minor"/>
      </rPr>
      <t>r</t>
    </r>
    <r>
      <rPr>
        <sz val="11"/>
        <color theme="1"/>
        <rFont val="Calibri"/>
        <family val="2"/>
        <scheme val="minor"/>
      </rPr>
      <t xml:space="preserve"> Implied price basis ABARES (2016a) GVP &amp; production data</t>
    </r>
  </si>
  <si>
    <t>Source Shortname</t>
  </si>
  <si>
    <t>Source Full Reference</t>
  </si>
  <si>
    <t>ABS (2017a)</t>
  </si>
  <si>
    <t>DPI (2017a)</t>
  </si>
  <si>
    <r>
      <t xml:space="preserve">Department of Primary Industries (2017), </t>
    </r>
    <r>
      <rPr>
        <i/>
        <sz val="11"/>
        <color theme="1"/>
        <rFont val="Calibri"/>
        <family val="2"/>
        <scheme val="minor"/>
      </rPr>
      <t>DPI estimate only, subject to revision</t>
    </r>
    <r>
      <rPr>
        <sz val="11"/>
        <color theme="1"/>
        <rFont val="Calibri"/>
        <family val="2"/>
        <scheme val="minor"/>
      </rPr>
      <t>, last revised September 2017</t>
    </r>
  </si>
  <si>
    <t>WA (2017a)</t>
  </si>
  <si>
    <t>DA (2017a)</t>
  </si>
  <si>
    <t>DA (2017b)</t>
  </si>
  <si>
    <r>
      <rPr>
        <vertAlign val="superscript"/>
        <sz val="11"/>
        <color theme="1"/>
        <rFont val="Calibri"/>
        <family val="2"/>
        <scheme val="minor"/>
      </rPr>
      <t xml:space="preserve">t </t>
    </r>
    <r>
      <rPr>
        <sz val="11"/>
        <color theme="1"/>
        <rFont val="Calibri"/>
        <family val="2"/>
        <scheme val="minor"/>
      </rPr>
      <t>GVP is sourced sperately to Agriculture GVP and EVAO threshold differs</t>
    </r>
  </si>
  <si>
    <t>Pulses(Chickpeas)</t>
  </si>
  <si>
    <t>Oilseeds (Canola)</t>
  </si>
  <si>
    <t>CPI</t>
  </si>
  <si>
    <t>Beef Cattle (EYCI)</t>
  </si>
  <si>
    <t>Beef Cattle (NSW Saleyard Trade Steer)</t>
  </si>
  <si>
    <t>Beef Cattle (NSW Saleyard Medium Cow)</t>
  </si>
  <si>
    <t>Ac/kg cwt</t>
  </si>
  <si>
    <t>Lamb (ESTLI)</t>
  </si>
  <si>
    <t>Mutton (Eastern States Mutton Indicator)</t>
  </si>
  <si>
    <t>Goat (NSW Average OTH Goat Indicators)</t>
  </si>
  <si>
    <t>Wool (EMI)</t>
  </si>
  <si>
    <t>Ac/kg clean</t>
  </si>
  <si>
    <t>Milk (NSW Farm Gate)</t>
  </si>
  <si>
    <t>$/m3</t>
  </si>
  <si>
    <t>Eggs (Consumer Price Index)</t>
  </si>
  <si>
    <t>Fruit (Consumer Price Index)</t>
  </si>
  <si>
    <t>Vegetables (Consumer Price Index)</t>
  </si>
  <si>
    <t>Fish &amp; Other Seafood (Consumer Price Index)</t>
  </si>
  <si>
    <t>Forestry &amp; Fisheries</t>
  </si>
  <si>
    <t>Horticulture &amp; Viticulture</t>
  </si>
  <si>
    <t>Broadacre Cropping</t>
  </si>
  <si>
    <t>Industry Prices</t>
  </si>
  <si>
    <r>
      <t>Australian Bureau of Agricultural and Resource Economic Sciences (2017),</t>
    </r>
    <r>
      <rPr>
        <i/>
        <sz val="11"/>
        <color theme="1"/>
        <rFont val="Calibri"/>
        <family val="2"/>
        <scheme val="minor"/>
      </rPr>
      <t xml:space="preserve"> Australian Crop Report , September 2017</t>
    </r>
    <r>
      <rPr>
        <sz val="11"/>
        <color theme="1"/>
        <rFont val="Calibri"/>
        <family val="2"/>
        <scheme val="minor"/>
      </rPr>
      <t>, last accessed September 2017 
&lt;http://www.agriculture.gov.au/abares/publications/display?url=http://143.188.17.20/anrdl/DAFFService/display.php?fid=pb_aucrpd9aba_20170912_yGQh0.xml&gt;</t>
    </r>
  </si>
  <si>
    <r>
      <t xml:space="preserve">Australian Bureau of Agricultural and Resource Economic Sciences (2017), </t>
    </r>
    <r>
      <rPr>
        <i/>
        <sz val="11"/>
        <rFont val="Calibri"/>
        <family val="2"/>
        <scheme val="minor"/>
      </rPr>
      <t xml:space="preserve">Agricultural Commodities , September 2017, </t>
    </r>
    <r>
      <rPr>
        <sz val="11"/>
        <rFont val="Calibri"/>
        <family val="2"/>
        <scheme val="minor"/>
      </rPr>
      <t>last accessed September 2017 
&lt;http://www.agriculture.gov.au/abares/publications/display?url=http://143.188.17.20/anrdl/DAFFService/display.php?fid=pb_agcomd9abcc20170919_7AmMy.xml&gt;</t>
    </r>
  </si>
  <si>
    <r>
      <t xml:space="preserve">Australian Bureau of Statistics (2017), </t>
    </r>
    <r>
      <rPr>
        <i/>
        <sz val="11"/>
        <color theme="1"/>
        <rFont val="Calibri"/>
        <family val="2"/>
        <scheme val="minor"/>
      </rPr>
      <t>6401.0 - Consumer Price Index, Australia</t>
    </r>
    <r>
      <rPr>
        <sz val="11"/>
        <color theme="1"/>
        <rFont val="Calibri"/>
        <family val="2"/>
        <scheme val="minor"/>
      </rPr>
      <t>, Jun 2017, last accessed September 2017 
&lt;http://www.abs.gov.au/AUSSTATS/abs@.nsf/DetailsPage/6401.0Jun%202017?OpenDocument&gt;</t>
    </r>
  </si>
  <si>
    <r>
      <t>Australian Bureau of Statistics (2017),</t>
    </r>
    <r>
      <rPr>
        <i/>
        <sz val="11"/>
        <rFont val="Calibri"/>
        <family val="2"/>
        <scheme val="minor"/>
      </rPr>
      <t xml:space="preserve"> 7121.0 - Agricultural Commodities Produced</t>
    </r>
    <r>
      <rPr>
        <sz val="11"/>
        <rFont val="Calibri"/>
        <family val="2"/>
        <scheme val="minor"/>
      </rPr>
      <t xml:space="preserve">, last accessed September 2017 
&lt;http://www.abs.gov.au/ausstats/abs@.nsf/PrimaryMainFeatures/7121.0?OpenDocument&gt; </t>
    </r>
  </si>
  <si>
    <r>
      <t xml:space="preserve">Australian Bureau of Statistics (2017), </t>
    </r>
    <r>
      <rPr>
        <i/>
        <sz val="11"/>
        <color theme="1"/>
        <rFont val="Calibri"/>
        <family val="2"/>
        <scheme val="minor"/>
      </rPr>
      <t>7503.0 - Value of Agricultural Commodities Produced 2015-16, July 2017, last accessed July 2017</t>
    </r>
    <r>
      <rPr>
        <sz val="11"/>
        <color theme="1"/>
        <rFont val="Calibri"/>
        <family val="2"/>
        <scheme val="minor"/>
      </rPr>
      <t xml:space="preserve"> 
&lt;http://www.abs.gov.au/ausstats/abs@.nsf/mf/7503.0&gt;</t>
    </r>
  </si>
  <si>
    <r>
      <t xml:space="preserve">Meat and Livestock Australia (2017), </t>
    </r>
    <r>
      <rPr>
        <i/>
        <sz val="11"/>
        <rFont val="Calibri"/>
        <family val="2"/>
        <scheme val="minor"/>
      </rPr>
      <t xml:space="preserve">Market Information Statistics Database Custom Report, </t>
    </r>
    <r>
      <rPr>
        <sz val="11"/>
        <rFont val="Calibri"/>
        <family val="2"/>
        <scheme val="minor"/>
      </rPr>
      <t>last accessed August 2017
&lt;http://statistics.mla.com.au/Report/List&gt;</t>
    </r>
  </si>
  <si>
    <r>
      <t xml:space="preserve">Australian Bureau of Statistics (2017), </t>
    </r>
    <r>
      <rPr>
        <i/>
        <sz val="11"/>
        <color theme="1"/>
        <rFont val="Calibri"/>
        <family val="2"/>
        <scheme val="minor"/>
      </rPr>
      <t>Livestock and Meat, Australia, July 2017,</t>
    </r>
    <r>
      <rPr>
        <sz val="11"/>
        <color theme="1"/>
        <rFont val="Calibri"/>
        <family val="2"/>
        <scheme val="minor"/>
      </rPr>
      <t xml:space="preserve"> last accessed August 2017 
&lt;http://www.abs.gov.au/ausstats/abs@.nsf/mf/7218.0.55.001&gt;</t>
    </r>
  </si>
  <si>
    <r>
      <t xml:space="preserve">Australian Bureau of Statistics (2017), </t>
    </r>
    <r>
      <rPr>
        <i/>
        <sz val="11"/>
        <color theme="1"/>
        <rFont val="Calibri"/>
        <family val="2"/>
        <scheme val="minor"/>
      </rPr>
      <t xml:space="preserve">Livestock Products, Australia, July 2017, </t>
    </r>
    <r>
      <rPr>
        <sz val="11"/>
        <color theme="1"/>
        <rFont val="Calibri"/>
        <family val="2"/>
        <scheme val="minor"/>
      </rPr>
      <t>last accessed August 2017 
&lt;http://www.abs.gov.au/ausstats/abs@.nsf/PrimaryMainFeatures/7215.0?OpenDocument&gt;</t>
    </r>
  </si>
  <si>
    <r>
      <t xml:space="preserve">Australian Sugar Milling Council (2017), </t>
    </r>
    <r>
      <rPr>
        <i/>
        <sz val="11"/>
        <rFont val="Calibri"/>
        <family val="2"/>
        <scheme val="minor"/>
      </rPr>
      <t>Sugar Cane Statistics</t>
    </r>
    <r>
      <rPr>
        <sz val="11"/>
        <rFont val="Calibri"/>
        <family val="2"/>
        <scheme val="minor"/>
      </rPr>
      <t>, last accessed August 2017. 
&lt;http://asmc.com.au/industry-overview/statistics/&gt;</t>
    </r>
  </si>
  <si>
    <r>
      <t xml:space="preserve">Department of Primary Industries (2017), </t>
    </r>
    <r>
      <rPr>
        <i/>
        <sz val="11"/>
        <color theme="1"/>
        <rFont val="Calibri"/>
        <family val="2"/>
        <scheme val="minor"/>
      </rPr>
      <t>Aquaculture Production Reports,</t>
    </r>
    <r>
      <rPr>
        <sz val="11"/>
        <color theme="1"/>
        <rFont val="Calibri"/>
        <family val="2"/>
        <scheme val="minor"/>
      </rPr>
      <t xml:space="preserve"> last accessed September 2017 
&lt;http://www.dpi.nsw.gov.au/fishing/aquaculture/publications/aquaculture-production-reports&gt;</t>
    </r>
  </si>
  <si>
    <r>
      <t xml:space="preserve">Department of Primary Industries (2017), </t>
    </r>
    <r>
      <rPr>
        <i/>
        <sz val="11"/>
        <color theme="1"/>
        <rFont val="Calibri"/>
        <family val="2"/>
        <scheme val="minor"/>
      </rPr>
      <t xml:space="preserve">Unpublished Internal Wild Caught Landings Estimates, </t>
    </r>
    <r>
      <rPr>
        <sz val="11"/>
        <color theme="1"/>
        <rFont val="Calibri"/>
        <family val="2"/>
        <scheme val="minor"/>
      </rPr>
      <t>Provided August 2017</t>
    </r>
  </si>
  <si>
    <r>
      <t xml:space="preserve">Australian Bureau of Agricultural and Resource Economic Sciences (2016), </t>
    </r>
    <r>
      <rPr>
        <i/>
        <sz val="11"/>
        <rFont val="Calibri"/>
        <family val="2"/>
        <scheme val="minor"/>
      </rPr>
      <t xml:space="preserve">Australian Forest and Wood Products Statistics, September &amp; December Quarters 2016, </t>
    </r>
    <r>
      <rPr>
        <sz val="11"/>
        <rFont val="Calibri"/>
        <family val="2"/>
        <scheme val="minor"/>
      </rPr>
      <t>last accessed August 2017 
&lt;http://www.agriculture.gov.au/abares/publications/display?url=http://143.188.17.20/anrdl/DAFFService/display.php?fid=pb_afwpsd9abfe20170525.xml&gt;</t>
    </r>
  </si>
  <si>
    <t>ABARES (2017c)</t>
  </si>
  <si>
    <r>
      <t xml:space="preserve">Australian Bureau of Agricultural and Resource Economic Sciences (2017), </t>
    </r>
    <r>
      <rPr>
        <i/>
        <sz val="11"/>
        <rFont val="Calibri"/>
        <family val="2"/>
        <scheme val="minor"/>
      </rPr>
      <t>Agricultural Commodity Statistics, Dec 2016</t>
    </r>
    <r>
      <rPr>
        <sz val="11"/>
        <rFont val="Calibri"/>
        <family val="2"/>
        <scheme val="minor"/>
      </rPr>
      <t>, last accessed June 2017 &lt;http://www.agriculture.gov.au/abares/publications/pubs?url=http://143.188.17.20/anrdl/DAFFService/pubs.php?seriesName=AustCommodityStat%26sort=date%26sortOrder=desc%26showIndex=true%26outputType=list%26indexLetter=_&gt;</t>
    </r>
  </si>
  <si>
    <r>
      <t xml:space="preserve">Reserve Bank of Australia (2017), </t>
    </r>
    <r>
      <rPr>
        <i/>
        <sz val="11"/>
        <color theme="1"/>
        <rFont val="Calibri"/>
        <family val="2"/>
        <scheme val="minor"/>
      </rPr>
      <t>Historical Data/Exchange Rates - Monthly - January 2010 to latest complete month of current year</t>
    </r>
    <r>
      <rPr>
        <sz val="11"/>
        <color theme="1"/>
        <rFont val="Calibri"/>
        <family val="2"/>
        <scheme val="minor"/>
      </rPr>
      <t>, last accessed August 2017 &lt;http://www.rba.gov.au/statistics/historical-data.html&gt;</t>
    </r>
  </si>
  <si>
    <t>RBA (2017a)</t>
  </si>
  <si>
    <r>
      <t xml:space="preserve">Department of Primary Industries (2017), </t>
    </r>
    <r>
      <rPr>
        <i/>
        <sz val="11"/>
        <color theme="1"/>
        <rFont val="Calibri"/>
        <family val="2"/>
        <scheme val="minor"/>
      </rPr>
      <t>Weekly APW Prices Delivered Port Kembla</t>
    </r>
    <r>
      <rPr>
        <sz val="11"/>
        <color theme="1"/>
        <rFont val="Calibri"/>
        <family val="2"/>
        <scheme val="minor"/>
      </rPr>
      <t>, revised weekly</t>
    </r>
  </si>
  <si>
    <t>CA (2017)</t>
  </si>
  <si>
    <r>
      <t xml:space="preserve">Cotton Australia (2017), </t>
    </r>
    <r>
      <rPr>
        <i/>
        <sz val="11"/>
        <color theme="1"/>
        <rFont val="Calibri"/>
        <family val="2"/>
        <scheme val="minor"/>
      </rPr>
      <t>2016-17 Cotton Australia Annual Report</t>
    </r>
    <r>
      <rPr>
        <sz val="11"/>
        <color theme="1"/>
        <rFont val="Calibri"/>
        <family val="2"/>
        <scheme val="minor"/>
      </rPr>
      <t>, Last accessed August 2017 &lt;http://cottonaustralia.com.au/uploads/publications/Cotton_Australia_Annual_Report_2016-17_WEB_final.pdf&gt;</t>
    </r>
  </si>
  <si>
    <t>QA (2017a)</t>
  </si>
  <si>
    <r>
      <t xml:space="preserve">Quandl (2017), </t>
    </r>
    <r>
      <rPr>
        <i/>
        <sz val="11"/>
        <color theme="1"/>
        <rFont val="Calibri"/>
        <family val="2"/>
        <scheme val="minor"/>
      </rPr>
      <t>Cotton No. 2 Futures, Continuous Contract #1 (CT1) (Front Month)</t>
    </r>
    <r>
      <rPr>
        <sz val="11"/>
        <color theme="1"/>
        <rFont val="Calibri"/>
        <family val="2"/>
        <scheme val="minor"/>
      </rPr>
      <t>, last accessed August 2017 &lt;https://www.quandl.com/data/CHRIS/ICE_CT1-Cotton-No-2-Futures-Continuous-Contract-1-CT1-Front-Month&gt;</t>
    </r>
  </si>
  <si>
    <t>USDA (2017b)</t>
  </si>
  <si>
    <r>
      <t xml:space="preserve">United States Department of Agriculture (2017), </t>
    </r>
    <r>
      <rPr>
        <i/>
        <sz val="11"/>
        <color theme="1"/>
        <rFont val="Calibri"/>
        <family val="2"/>
        <scheme val="minor"/>
      </rPr>
      <t>Cotton: World Markets and Trade August 2017</t>
    </r>
    <r>
      <rPr>
        <sz val="11"/>
        <color theme="1"/>
        <rFont val="Calibri"/>
        <family val="2"/>
        <scheme val="minor"/>
      </rPr>
      <t>, last accessed August 2017 &lt;https://apps.fas.usda.gov/psdonline/circulars/cotton.pdf&gt;</t>
    </r>
  </si>
  <si>
    <t>CL (2017a)</t>
  </si>
  <si>
    <r>
      <t xml:space="preserve">Cotton Outlook (2017), </t>
    </r>
    <r>
      <rPr>
        <i/>
        <sz val="11"/>
        <color theme="1"/>
        <rFont val="Calibri"/>
        <family val="2"/>
        <scheme val="minor"/>
      </rPr>
      <t>Cotlook Indicies, Seasonal Indicies, 'A Index'</t>
    </r>
    <r>
      <rPr>
        <sz val="11"/>
        <color theme="1"/>
        <rFont val="Calibri"/>
        <family val="2"/>
        <scheme val="minor"/>
      </rPr>
      <t>, last accessed September 2017 &lt;https://www.cotlook.com/information/cotlook-indices/&gt;</t>
    </r>
  </si>
  <si>
    <r>
      <t xml:space="preserve">Rabobank (2017), </t>
    </r>
    <r>
      <rPr>
        <i/>
        <sz val="11"/>
        <color theme="1"/>
        <rFont val="Calibri"/>
        <family val="2"/>
        <scheme val="minor"/>
      </rPr>
      <t>Checking the Pulse: Global Pulse prices under Pressure,</t>
    </r>
    <r>
      <rPr>
        <sz val="11"/>
        <color theme="1"/>
        <rFont val="Calibri"/>
        <family val="2"/>
        <scheme val="minor"/>
      </rPr>
      <t xml:space="preserve"> last accessed August 2017 &lt;https://research.rabobank.com/far/en/sectors/grains-oilseeds/Checking-the-pulse-global-pulse-prices-under-pressure.html&gt;</t>
    </r>
  </si>
  <si>
    <t>RABO (2017a)</t>
  </si>
  <si>
    <r>
      <t xml:space="preserve">Dynamic Export (2017), </t>
    </r>
    <r>
      <rPr>
        <i/>
        <sz val="11"/>
        <color theme="1"/>
        <rFont val="Calibri"/>
        <family val="2"/>
        <scheme val="minor"/>
      </rPr>
      <t xml:space="preserve">Australian Lentil Exports are Booming, </t>
    </r>
    <r>
      <rPr>
        <sz val="11"/>
        <color theme="1"/>
        <rFont val="Calibri"/>
        <family val="2"/>
        <scheme val="minor"/>
      </rPr>
      <t>last accessed August 2017. http://www.dynamicexport.com.au/export-market/articles-export-markets/Australian-lentil-exports-are-booming/</t>
    </r>
  </si>
  <si>
    <t>DE (2017)</t>
  </si>
  <si>
    <r>
      <t xml:space="preserve">Deloitte Agribusiness Bulletin (2016), </t>
    </r>
    <r>
      <rPr>
        <i/>
        <sz val="11"/>
        <color theme="1"/>
        <rFont val="Calibri"/>
        <family val="2"/>
        <scheme val="minor"/>
      </rPr>
      <t>Chickpeas: Perfectly positioned,</t>
    </r>
    <r>
      <rPr>
        <sz val="11"/>
        <color theme="1"/>
        <rFont val="Calibri"/>
        <family val="2"/>
        <scheme val="minor"/>
      </rPr>
      <t xml:space="preserve"> last accessed August 2017. https://www2.deloitte.com/au/en/pages/consumer-industrial-products/articles/chickpeas-perfectly-positioned.html</t>
    </r>
  </si>
  <si>
    <t>Deloitte (2016a)</t>
  </si>
  <si>
    <t>USDA (2017c)</t>
  </si>
  <si>
    <r>
      <t xml:space="preserve">United States Department of Agriculture (2017), </t>
    </r>
    <r>
      <rPr>
        <i/>
        <sz val="11"/>
        <color theme="1"/>
        <rFont val="Calibri"/>
        <family val="2"/>
        <scheme val="minor"/>
      </rPr>
      <t>Grain: World markets and Trade, August 2017</t>
    </r>
    <r>
      <rPr>
        <sz val="11"/>
        <color theme="1"/>
        <rFont val="Calibri"/>
        <family val="2"/>
        <scheme val="minor"/>
      </rPr>
      <t>, last accessed August 2017 &lt;https://apps.fas.usda.gov/psdonline/circulars/grain.pdf&gt;</t>
    </r>
  </si>
  <si>
    <r>
      <t xml:space="preserve">The Land (2016), </t>
    </r>
    <r>
      <rPr>
        <i/>
        <sz val="11"/>
        <color theme="1"/>
        <rFont val="Calibri"/>
        <family val="2"/>
        <scheme val="minor"/>
      </rPr>
      <t>Australian canola plantings likely to lift this season</t>
    </r>
    <r>
      <rPr>
        <sz val="11"/>
        <color theme="1"/>
        <rFont val="Calibri"/>
        <family val="2"/>
        <scheme val="minor"/>
      </rPr>
      <t>, last accessed August 2017 &lt;http://www.theland.com.au/story/3846075/australian-canola-plantings-likely-to-lift/&gt;</t>
    </r>
  </si>
  <si>
    <t>NORTON (1999)</t>
  </si>
  <si>
    <r>
      <t xml:space="preserve">Norton. R, Kirkegaard. J, Angus and T. Potter (1999), </t>
    </r>
    <r>
      <rPr>
        <i/>
        <sz val="11"/>
        <color theme="1"/>
        <rFont val="Calibri"/>
        <family val="2"/>
        <scheme val="minor"/>
      </rPr>
      <t xml:space="preserve">Canola in Rotations, </t>
    </r>
    <r>
      <rPr>
        <sz val="11"/>
        <color theme="1"/>
        <rFont val="Calibri"/>
        <family val="2"/>
        <scheme val="minor"/>
      </rPr>
      <t>last accessed August 2017, &lt;http://www.australianoilseeds.com/__data/assets/pdf_file/0014/2705/Chapter_5_-_Canola_in_Rotations.pdf&gt;</t>
    </r>
  </si>
  <si>
    <t>SUNRICE (2017)</t>
  </si>
  <si>
    <r>
      <t xml:space="preserve">SunRice (2017), </t>
    </r>
    <r>
      <rPr>
        <i/>
        <sz val="11"/>
        <color theme="1"/>
        <rFont val="Calibri"/>
        <family val="2"/>
        <scheme val="minor"/>
      </rPr>
      <t>SunRice Offers Fixed Price Contract of $400/tonne to Riverina Growers,</t>
    </r>
    <r>
      <rPr>
        <sz val="11"/>
        <color theme="1"/>
        <rFont val="Calibri"/>
        <family val="2"/>
        <scheme val="minor"/>
      </rPr>
      <t xml:space="preserve"> last accessed August 2017 &lt;https://www.sunrice.com.au/corporate/newsroom/media-releases/sunrice-offers-fixed-price-contract-of-400tonne-to-riverina-growers/&gt;</t>
    </r>
  </si>
  <si>
    <t>USDA (2017d)</t>
  </si>
  <si>
    <r>
      <t xml:space="preserve">USDA (2017), </t>
    </r>
    <r>
      <rPr>
        <i/>
        <sz val="11"/>
        <color theme="1"/>
        <rFont val="Calibri"/>
        <family val="2"/>
        <scheme val="minor"/>
      </rPr>
      <t>Rice Outlook January 2017</t>
    </r>
    <r>
      <rPr>
        <sz val="11"/>
        <color theme="1"/>
        <rFont val="Calibri"/>
        <family val="2"/>
        <scheme val="minor"/>
      </rPr>
      <t>. Last Accessed August 2017 &lt;https://www.ers.usda.gov/webdocs/publications/82109/rcs-17a.pdf?v=42752&gt;</t>
    </r>
  </si>
  <si>
    <t>BOM (2017a)</t>
  </si>
  <si>
    <r>
      <t xml:space="preserve">Bureau of Metereology (2017), </t>
    </r>
    <r>
      <rPr>
        <i/>
        <sz val="11"/>
        <color theme="1"/>
        <rFont val="Calibri"/>
        <family val="2"/>
        <scheme val="minor"/>
      </rPr>
      <t>Climate statistics for Narrabri West Post Office</t>
    </r>
    <r>
      <rPr>
        <sz val="11"/>
        <color theme="1"/>
        <rFont val="Calibri"/>
        <family val="2"/>
        <scheme val="minor"/>
      </rPr>
      <t>, last accessed August 2017 &lt;http://www.bom.gov.au/climate/averages/tables/cw_053030.shtml&gt;</t>
    </r>
  </si>
  <si>
    <t>FT (2016a)</t>
  </si>
  <si>
    <r>
      <t xml:space="preserve">The Land (2016), </t>
    </r>
    <r>
      <rPr>
        <i/>
        <sz val="11"/>
        <color theme="1"/>
        <rFont val="Calibri"/>
        <family val="2"/>
        <scheme val="minor"/>
      </rPr>
      <t>Prices and yield sweeten cane season</t>
    </r>
    <r>
      <rPr>
        <sz val="11"/>
        <color theme="1"/>
        <rFont val="Calibri"/>
        <family val="2"/>
        <scheme val="minor"/>
      </rPr>
      <t>, last accessed August 2017 &lt;http://www.theland.com.au/story/4122332/market-has-a-crush-on-sugar/ &gt;</t>
    </r>
  </si>
  <si>
    <t>LAND (2016b)</t>
  </si>
  <si>
    <t>LAND (2016a)</t>
  </si>
  <si>
    <t>FAO (2017a)</t>
  </si>
  <si>
    <r>
      <t xml:space="preserve">Food and Agirculture Organisation (2017), </t>
    </r>
    <r>
      <rPr>
        <i/>
        <sz val="11"/>
        <color theme="1"/>
        <rFont val="Calibri"/>
        <family val="2"/>
        <scheme val="minor"/>
      </rPr>
      <t xml:space="preserve"> FAO Food Price Indicies, </t>
    </r>
    <r>
      <rPr>
        <sz val="11"/>
        <color theme="1"/>
        <rFont val="Calibri"/>
        <family val="2"/>
        <scheme val="minor"/>
      </rPr>
      <t>last accessed September 2017, &lt;http://www.fao.org/worldfoodsituation/en/&gt;</t>
    </r>
  </si>
  <si>
    <r>
      <t xml:space="preserve">Australian Wool Innovation Limited (2017) </t>
    </r>
    <r>
      <rPr>
        <i/>
        <sz val="11"/>
        <color theme="1"/>
        <rFont val="Calibri"/>
        <family val="2"/>
        <scheme val="minor"/>
      </rPr>
      <t>Australian Wool Production Forecast Report, August 2017</t>
    </r>
    <r>
      <rPr>
        <sz val="11"/>
        <color theme="1"/>
        <rFont val="Calibri"/>
        <family val="2"/>
        <scheme val="minor"/>
      </rPr>
      <t>, last accessed September 2017, &lt;https://www.wool.com/globalassets/start/market-intelligence/wool-production-forecasts/awpfc-forecast-report-2017-august.pdf&gt;</t>
    </r>
  </si>
  <si>
    <t>AWI (2017b)</t>
  </si>
  <si>
    <t>AWI (2017a)</t>
  </si>
  <si>
    <r>
      <t xml:space="preserve">Australian Wool Innovation Limited (2017) </t>
    </r>
    <r>
      <rPr>
        <i/>
        <sz val="11"/>
        <color theme="1"/>
        <rFont val="Calibri"/>
        <family val="2"/>
        <scheme val="minor"/>
      </rPr>
      <t>Wool Market Weekly Report</t>
    </r>
    <r>
      <rPr>
        <sz val="11"/>
        <color theme="1"/>
        <rFont val="Calibri"/>
        <family val="2"/>
        <scheme val="minor"/>
      </rPr>
      <t>, compilation of reports &lt;https://www.wool.com/market-intelligence/weekly-price-reports/&gt;</t>
    </r>
  </si>
  <si>
    <t>CON (2017)</t>
  </si>
  <si>
    <r>
      <t xml:space="preserve">The Conversation (2017), </t>
    </r>
    <r>
      <rPr>
        <i/>
        <sz val="11"/>
        <color theme="1"/>
        <rFont val="Calibri"/>
        <family val="2"/>
        <scheme val="minor"/>
      </rPr>
      <t>Three charts on: Australia’s declining taste for beef and growing appetite for chicken</t>
    </r>
    <r>
      <rPr>
        <sz val="11"/>
        <color theme="1"/>
        <rFont val="Calibri"/>
        <family val="2"/>
        <scheme val="minor"/>
      </rPr>
      <t>, last accessed September 2017 &lt;http://theconversation.com/three-charts-on-australias-declining-taste-for-beef-and-growing-appetite-for-chicken-78100&gt;</t>
    </r>
  </si>
  <si>
    <t>FARM (2017)</t>
  </si>
  <si>
    <r>
      <t xml:space="preserve">Farmonline (2017), </t>
    </r>
    <r>
      <rPr>
        <i/>
        <sz val="11"/>
        <color theme="1"/>
        <rFont val="Calibri"/>
        <family val="2"/>
        <scheme val="minor"/>
      </rPr>
      <t xml:space="preserve">Export options grow as bird flu infects global poultry products trade, </t>
    </r>
    <r>
      <rPr>
        <sz val="11"/>
        <color theme="1"/>
        <rFont val="Calibri"/>
        <family val="2"/>
        <scheme val="minor"/>
      </rPr>
      <t>last accessed August 2017 &lt;http://www.farmonline.com.au/story/4589604/export-potential-as-bird-flu-infects-global-poultry-products-trade/&gt;</t>
    </r>
  </si>
  <si>
    <r>
      <t xml:space="preserve">Mecardo (2017). </t>
    </r>
    <r>
      <rPr>
        <i/>
        <sz val="11"/>
        <color theme="1"/>
        <rFont val="Calibri"/>
        <family val="2"/>
        <scheme val="minor"/>
      </rPr>
      <t xml:space="preserve">Changing Chinese Tastes for Sheep Meat, </t>
    </r>
    <r>
      <rPr>
        <sz val="11"/>
        <color theme="1"/>
        <rFont val="Calibri"/>
        <family val="2"/>
        <scheme val="minor"/>
      </rPr>
      <t>last accessed September 2017</t>
    </r>
    <r>
      <rPr>
        <i/>
        <sz val="11"/>
        <color theme="1"/>
        <rFont val="Calibri"/>
        <family val="2"/>
        <scheme val="minor"/>
      </rPr>
      <t xml:space="preserve"> </t>
    </r>
    <r>
      <rPr>
        <sz val="11"/>
        <color theme="1"/>
        <rFont val="Calibri"/>
        <family val="2"/>
        <scheme val="minor"/>
      </rPr>
      <t>&lt;http://www.mecardo.com.au/commodities/analysis/changing-chinese-tastes-for-sheep-meat.aspx&gt;</t>
    </r>
  </si>
  <si>
    <t>MECARDO (2017a)</t>
  </si>
  <si>
    <r>
      <t xml:space="preserve">Dairy Australia (2017), </t>
    </r>
    <r>
      <rPr>
        <i/>
        <sz val="11"/>
        <rFont val="Calibri"/>
        <family val="2"/>
        <scheme val="minor"/>
      </rPr>
      <t>NSW Milk Production Report June 2017,</t>
    </r>
    <r>
      <rPr>
        <sz val="11"/>
        <rFont val="Calibri"/>
        <family val="2"/>
        <scheme val="minor"/>
      </rPr>
      <t xml:space="preserve"> last accessed August 2017, &lt;http://www.dairyaustralia.com.au/Markets-and-statistics/Production-and-sales/Latest-statistics.aspx&gt;</t>
    </r>
  </si>
  <si>
    <t>CHOICE (2017a)</t>
  </si>
  <si>
    <r>
      <t xml:space="preserve">Choice (2017) </t>
    </r>
    <r>
      <rPr>
        <i/>
        <sz val="11"/>
        <color theme="1"/>
        <rFont val="Calibri"/>
        <family val="2"/>
        <scheme val="minor"/>
      </rPr>
      <t>Milk Money,</t>
    </r>
    <r>
      <rPr>
        <sz val="11"/>
        <color theme="1"/>
        <rFont val="Calibri"/>
        <family val="2"/>
        <scheme val="minor"/>
      </rPr>
      <t xml:space="preserve"> last accessed September 2017 &lt;https://www.choice.com.au/food-and-drink/dairy/milk/articles/one-dollar-milk-and-the-australian-dairy-industry&gt; </t>
    </r>
  </si>
  <si>
    <r>
      <t xml:space="preserve">Dairy Australia (2017), </t>
    </r>
    <r>
      <rPr>
        <i/>
        <sz val="11"/>
        <rFont val="Calibri"/>
        <family val="2"/>
        <scheme val="minor"/>
      </rPr>
      <t>Farmgate Milk Price</t>
    </r>
    <r>
      <rPr>
        <sz val="11"/>
        <rFont val="Calibri"/>
        <family val="2"/>
        <scheme val="minor"/>
      </rPr>
      <t>, last accessed September 2017, &lt;https://www.dairyaustralia.com.au/industry/prices/farmgate-milk-price&gt;</t>
    </r>
  </si>
  <si>
    <t>DA (2017c)</t>
  </si>
  <si>
    <r>
      <t xml:space="preserve">Dairy Australia (2017), </t>
    </r>
    <r>
      <rPr>
        <i/>
        <sz val="11"/>
        <color theme="1"/>
        <rFont val="Calibri"/>
        <family val="2"/>
        <scheme val="minor"/>
      </rPr>
      <t>National Milk Sales Report</t>
    </r>
    <r>
      <rPr>
        <sz val="11"/>
        <color theme="1"/>
        <rFont val="Calibri"/>
        <family val="2"/>
        <scheme val="minor"/>
      </rPr>
      <t>, last accessed September 2017 &lt;https://www.dairyaustralia.com.au/-/media/dairyaustralia/documents/industry/industry-resources/production-and-sales/national-milk-sales-jun-17.ashx?la=en&amp;hash=44190A4159FF8D06AE7FCE788BFA9D9E4281696F&gt;</t>
    </r>
  </si>
  <si>
    <r>
      <t xml:space="preserve">Global Dairy Trade (2017), </t>
    </r>
    <r>
      <rPr>
        <i/>
        <sz val="11"/>
        <color theme="1"/>
        <rFont val="Calibri"/>
        <family val="2"/>
        <scheme val="minor"/>
      </rPr>
      <t xml:space="preserve">Global Dairy price Index, </t>
    </r>
    <r>
      <rPr>
        <sz val="11"/>
        <color theme="1"/>
        <rFont val="Calibri"/>
        <family val="2"/>
        <scheme val="minor"/>
      </rPr>
      <t>last accessed September 2017 &lt;https://www.globaldairytrade.info/en/product-results/&gt;</t>
    </r>
  </si>
  <si>
    <t>GDT (2017)</t>
  </si>
  <si>
    <t>AE (2017a)</t>
  </si>
  <si>
    <r>
      <t xml:space="preserve">Australian Eggs (2017), </t>
    </r>
    <r>
      <rPr>
        <i/>
        <sz val="11"/>
        <color theme="1"/>
        <rFont val="Calibri"/>
        <family val="2"/>
        <scheme val="minor"/>
      </rPr>
      <t xml:space="preserve">Annual Reports, </t>
    </r>
    <r>
      <rPr>
        <sz val="11"/>
        <color theme="1"/>
        <rFont val="Calibri"/>
        <family val="2"/>
        <scheme val="minor"/>
      </rPr>
      <t>last accessed August 2017 &lt;https://www.aecl.org/about-us/annual-reports/&gt;</t>
    </r>
  </si>
  <si>
    <r>
      <rPr>
        <vertAlign val="superscript"/>
        <sz val="11"/>
        <color theme="1"/>
        <rFont val="Calibri"/>
        <family val="2"/>
        <scheme val="minor"/>
      </rPr>
      <t>u</t>
    </r>
    <r>
      <rPr>
        <sz val="11"/>
        <color theme="1"/>
        <rFont val="Calibri"/>
        <family val="2"/>
        <scheme val="minor"/>
      </rPr>
      <t xml:space="preserve"> Average over 4 quarters Sydney CPI data</t>
    </r>
  </si>
  <si>
    <r>
      <t xml:space="preserve">Australian Pork Limited (2017), </t>
    </r>
    <r>
      <rPr>
        <i/>
        <sz val="11"/>
        <color theme="1"/>
        <rFont val="Calibri"/>
        <family val="2"/>
        <scheme val="minor"/>
      </rPr>
      <t>High prices fixing high prices,</t>
    </r>
    <r>
      <rPr>
        <sz val="11"/>
        <color theme="1"/>
        <rFont val="Calibri"/>
        <family val="2"/>
        <scheme val="minor"/>
      </rPr>
      <t xml:space="preserve"> APL Newsletter article, March 2017 &lt;http://www.porknews.com.au/documents/pasteditions/APN0317.pdf&gt;</t>
    </r>
  </si>
  <si>
    <t>APL (2017a)</t>
  </si>
  <si>
    <t>APL (2017b)</t>
  </si>
  <si>
    <r>
      <t xml:space="preserve">Australian Pork Limited (2017), </t>
    </r>
    <r>
      <rPr>
        <i/>
        <sz val="11"/>
        <color theme="1"/>
        <rFont val="Calibri"/>
        <family val="2"/>
        <scheme val="minor"/>
      </rPr>
      <t>What will producers do with this windfall?,</t>
    </r>
    <r>
      <rPr>
        <sz val="11"/>
        <color theme="1"/>
        <rFont val="Calibri"/>
        <family val="2"/>
        <scheme val="minor"/>
      </rPr>
      <t xml:space="preserve"> APL Newsletter article, February 2017</t>
    </r>
  </si>
  <si>
    <t>MLA (2017b)</t>
  </si>
  <si>
    <r>
      <t>Meat &amp; Livestock Australia (2017),</t>
    </r>
    <r>
      <rPr>
        <i/>
        <sz val="11"/>
        <color theme="1"/>
        <rFont val="Calibri"/>
        <family val="2"/>
        <scheme val="minor"/>
      </rPr>
      <t xml:space="preserve"> Red meat prices affecting supply,</t>
    </r>
    <r>
      <rPr>
        <sz val="11"/>
        <color theme="1"/>
        <rFont val="Calibri"/>
        <family val="2"/>
        <scheme val="minor"/>
      </rPr>
      <t xml:space="preserve"> last accessed August 2017 &lt;https://www.mla.com.au/prices-markets/market-news/red-meat-prices-reflecting-supply/&gt;</t>
    </r>
  </si>
  <si>
    <t>ANIC (2016a)</t>
  </si>
  <si>
    <r>
      <t xml:space="preserve">Australian Nut Industry Council (2016), </t>
    </r>
    <r>
      <rPr>
        <i/>
        <sz val="11"/>
        <color theme="1"/>
        <rFont val="Calibri"/>
        <family val="2"/>
        <scheme val="minor"/>
      </rPr>
      <t xml:space="preserve">Growing For Success, 2016, </t>
    </r>
    <r>
      <rPr>
        <sz val="11"/>
        <color theme="1"/>
        <rFont val="Calibri"/>
        <family val="2"/>
        <scheme val="minor"/>
      </rPr>
      <t>last accessed September 2017 &lt;http://www.nutindustry.org.au/growing-for-success.html&gt;</t>
    </r>
  </si>
  <si>
    <r>
      <t xml:space="preserve">Wine Australia (2017), </t>
    </r>
    <r>
      <rPr>
        <i/>
        <sz val="11"/>
        <color theme="1"/>
        <rFont val="Calibri"/>
        <family val="2"/>
        <scheme val="minor"/>
      </rPr>
      <t>National Vintage Report 2017</t>
    </r>
    <r>
      <rPr>
        <sz val="11"/>
        <color theme="1"/>
        <rFont val="Calibri"/>
        <family val="2"/>
        <scheme val="minor"/>
      </rPr>
      <t>, last accessed September 2017 &lt;https://www.wineaustralia.com/market-insights/national-vintage-report&gt;</t>
    </r>
  </si>
  <si>
    <t>JT (2016)</t>
  </si>
  <si>
    <r>
      <t xml:space="preserve">The Japan Times (2016), </t>
    </r>
    <r>
      <rPr>
        <i/>
        <sz val="11"/>
        <color theme="1"/>
        <rFont val="Calibri"/>
        <family val="2"/>
        <scheme val="minor"/>
      </rPr>
      <t>Japan’s power producers scour forests in search of wood to burn</t>
    </r>
    <r>
      <rPr>
        <sz val="11"/>
        <color theme="1"/>
        <rFont val="Calibri"/>
        <family val="2"/>
        <scheme val="minor"/>
      </rPr>
      <t>, last accessed August 2017 &lt;https://www.japantimes.co.jp/news/2016/02/04/business/japans-power-producers-scour-forests-search-wood-burn/#.WZ_E2T4jFhE&gt;</t>
    </r>
  </si>
  <si>
    <t>HIA (2017a)</t>
  </si>
  <si>
    <r>
      <t xml:space="preserve">Housing Industry Association (2017), </t>
    </r>
    <r>
      <rPr>
        <i/>
        <sz val="11"/>
        <color theme="1"/>
        <rFont val="Calibri"/>
        <family val="2"/>
        <scheme val="minor"/>
      </rPr>
      <t>Housing Dwelling Commencements Forecast August 2017</t>
    </r>
    <r>
      <rPr>
        <sz val="11"/>
        <color theme="1"/>
        <rFont val="Calibri"/>
        <family val="2"/>
        <scheme val="minor"/>
      </rPr>
      <t>, last accessed August 2017 &lt;https://hia.com.au/BusinessInfo/economicInfo/housingForecasts&gt;</t>
    </r>
  </si>
  <si>
    <r>
      <rPr>
        <vertAlign val="superscript"/>
        <sz val="11"/>
        <color theme="1"/>
        <rFont val="Calibri"/>
        <family val="2"/>
        <scheme val="minor"/>
      </rPr>
      <t>v</t>
    </r>
    <r>
      <rPr>
        <sz val="11"/>
        <color theme="1"/>
        <rFont val="Calibri"/>
        <family val="2"/>
        <scheme val="minor"/>
      </rPr>
      <t xml:space="preserve"> Implied consumption is based on the assumption that total log production is consumed within the same year it is produced, and therefore excludes carry over stocks. </t>
    </r>
  </si>
  <si>
    <t>DPI (2017d)</t>
  </si>
  <si>
    <t>DPI (2017e)</t>
  </si>
  <si>
    <r>
      <t xml:space="preserve">Department of Primary Industries - Office of Water (2017), </t>
    </r>
    <r>
      <rPr>
        <i/>
        <sz val="11"/>
        <color theme="1"/>
        <rFont val="Calibri"/>
        <family val="2"/>
        <scheme val="minor"/>
      </rPr>
      <t>Water storages (dams) current data</t>
    </r>
    <r>
      <rPr>
        <sz val="11"/>
        <color theme="1"/>
        <rFont val="Calibri"/>
        <family val="2"/>
        <scheme val="minor"/>
      </rPr>
      <t xml:space="preserve">, </t>
    </r>
    <r>
      <rPr>
        <i/>
        <sz val="11"/>
        <color theme="1"/>
        <rFont val="Calibri"/>
        <family val="2"/>
        <scheme val="minor"/>
      </rPr>
      <t>custom report generation</t>
    </r>
    <r>
      <rPr>
        <sz val="11"/>
        <color theme="1"/>
        <rFont val="Calibri"/>
        <family val="2"/>
        <scheme val="minor"/>
      </rPr>
      <t>, last accessed October 2017 &lt;http://waterinfo.nsw.gov.au/sr/&gt;</t>
    </r>
  </si>
  <si>
    <t>DPI (2017f)</t>
  </si>
  <si>
    <r>
      <t xml:space="preserve">Department of Primary Industries - Office of Water (2017), </t>
    </r>
    <r>
      <rPr>
        <i/>
        <sz val="11"/>
        <color theme="1"/>
        <rFont val="Calibri"/>
        <family val="2"/>
        <scheme val="minor"/>
      </rPr>
      <t>NSW Allocaton Statements</t>
    </r>
    <r>
      <rPr>
        <sz val="11"/>
        <color theme="1"/>
        <rFont val="Calibri"/>
        <family val="2"/>
        <scheme val="minor"/>
      </rPr>
      <t>, last accessed October 2017 &lt;http://www.water.nsw.gov.au/water-management/water-availability/water-allocation-statements&gt;</t>
    </r>
  </si>
  <si>
    <t>AITHER (2017)</t>
  </si>
  <si>
    <r>
      <t xml:space="preserve">AITHER (2017), </t>
    </r>
    <r>
      <rPr>
        <i/>
        <sz val="11"/>
        <color theme="1"/>
        <rFont val="Calibri"/>
        <family val="2"/>
        <scheme val="minor"/>
      </rPr>
      <t xml:space="preserve">Water Markets Report 2016-17 Review and 2017-18 Outlook, </t>
    </r>
    <r>
      <rPr>
        <sz val="11"/>
        <color theme="1"/>
        <rFont val="Calibri"/>
        <family val="2"/>
        <scheme val="minor"/>
      </rPr>
      <t>last accessed September 2017 &lt;http://www.aither.com.au/wp-content/uploads/2017/09/17_08_28_AWMR-2016-17_FINAL_STC_comp.pdf&gt;</t>
    </r>
  </si>
  <si>
    <r>
      <rPr>
        <vertAlign val="superscript"/>
        <sz val="11"/>
        <color theme="1"/>
        <rFont val="Calibri"/>
        <family val="2"/>
        <scheme val="minor"/>
      </rPr>
      <t xml:space="preserve">w </t>
    </r>
    <r>
      <rPr>
        <sz val="11"/>
        <color theme="1"/>
        <rFont val="Calibri"/>
        <family val="2"/>
        <scheme val="minor"/>
      </rPr>
      <t xml:space="preserve">2016-17 production is estimated by extrapolating Wine Australia production growth over the ABS reported 2015-16 levels. </t>
    </r>
  </si>
  <si>
    <t xml:space="preserve">Name </t>
  </si>
  <si>
    <t>Purpose</t>
  </si>
  <si>
    <t>For current reporting historical statsistics for a range of industries and measures</t>
  </si>
  <si>
    <t>Wine</t>
  </si>
  <si>
    <t>Beef</t>
  </si>
  <si>
    <t>Other Crops</t>
  </si>
  <si>
    <t>GVP Data Consolidated</t>
  </si>
  <si>
    <t>Production Data Consolidated</t>
  </si>
  <si>
    <t>Price Data Consolidated</t>
  </si>
  <si>
    <t>Exports Data Consolidated</t>
  </si>
  <si>
    <t>Imports &amp; Trade Balance Data Consolidated</t>
  </si>
  <si>
    <t>Jobs &amp; Businesses Consolidated</t>
  </si>
  <si>
    <t>Catalogue Index</t>
  </si>
  <si>
    <t xml:space="preserve">Prepared By </t>
  </si>
  <si>
    <t>Consolidated Footnotes</t>
  </si>
  <si>
    <t>ABS (2017g)</t>
  </si>
  <si>
    <r>
      <t xml:space="preserve">Australian Broadcasting Corporation (2016), </t>
    </r>
    <r>
      <rPr>
        <i/>
        <sz val="11"/>
        <color theme="1"/>
        <rFont val="Calibri"/>
        <family val="2"/>
        <scheme val="minor"/>
      </rPr>
      <t>NSW sugar cane crop forecast to top 2 million tonnes,</t>
    </r>
    <r>
      <rPr>
        <sz val="11"/>
        <color theme="1"/>
        <rFont val="Calibri"/>
        <family val="2"/>
        <scheme val="minor"/>
      </rPr>
      <t xml:space="preserve"> last accessed August 2017 &lt;http://www.abc.net.au/news/rural/2016-06-03/nsw-sugar-cane-harvest-starts/7473446&gt;</t>
    </r>
  </si>
  <si>
    <t>ABC (2016a)</t>
  </si>
  <si>
    <r>
      <t xml:space="preserve">Sydney Morning Herald (2016) </t>
    </r>
    <r>
      <rPr>
        <i/>
        <sz val="11"/>
        <color theme="1"/>
        <rFont val="Calibri"/>
        <family val="2"/>
        <scheme val="minor"/>
      </rPr>
      <t xml:space="preserve">Dairy crisis explained, July 2016, </t>
    </r>
    <r>
      <rPr>
        <sz val="11"/>
        <color theme="1"/>
        <rFont val="Calibri"/>
        <family val="2"/>
        <scheme val="minor"/>
      </rPr>
      <t>last accessed October 2017 &lt;http://www.smh.com.au/business/the-economy/dairy-crisis-explained-its-more-to-do-with-vladimir-putin-than-1-milk-20160630-gpvegb.html&gt;</t>
    </r>
  </si>
  <si>
    <r>
      <t xml:space="preserve">Senate ERC (2017), </t>
    </r>
    <r>
      <rPr>
        <i/>
        <sz val="11"/>
        <color theme="1"/>
        <rFont val="Calibri"/>
        <family val="2"/>
        <scheme val="minor"/>
      </rPr>
      <t>Australia's dairy industry: rebuilding trust and a fair market for farmers, August 2017</t>
    </r>
    <r>
      <rPr>
        <sz val="11"/>
        <color theme="1"/>
        <rFont val="Calibri"/>
        <family val="2"/>
        <scheme val="minor"/>
      </rPr>
      <t>, last accessed October 2017 &lt;http://apo.org.au/system/files/102881/apo-nid102881-416026.pdf&gt;</t>
    </r>
  </si>
  <si>
    <t>SMH (2016)</t>
  </si>
  <si>
    <t>SENATE (2017)</t>
  </si>
  <si>
    <r>
      <t xml:space="preserve">Japan Times (2017), </t>
    </r>
    <r>
      <rPr>
        <i/>
        <sz val="11"/>
        <color theme="1"/>
        <rFont val="Calibri"/>
        <family val="2"/>
        <scheme val="minor"/>
      </rPr>
      <t>Egg prices soar, imports allowed in as South Korea poultry cull tops 30 million as bird flu rages,</t>
    </r>
    <r>
      <rPr>
        <sz val="11"/>
        <color theme="1"/>
        <rFont val="Calibri"/>
        <family val="2"/>
        <scheme val="minor"/>
      </rPr>
      <t xml:space="preserve"> last accessed August 2017 &lt;https://www.japantimes.co.jp/news/2017/01/04/business/egg-prices-soar-imports-allowed-south-korea-poultry-cull-tops-30-million-bird-flu-rages/#.WZUvjVERWUk&gt;
</t>
    </r>
  </si>
  <si>
    <t>JT (2017)</t>
  </si>
  <si>
    <t>Australian Dairy Farmers (2016), Global Milk Prices Are On The Rise, September 2016, last accessed October 2017, &lt;http://www.australiandairyfarmers.com.au/media-corner/global-milk-prices-are-on-the-rise&gt;</t>
  </si>
  <si>
    <t>ADF (2017)</t>
  </si>
  <si>
    <r>
      <rPr>
        <vertAlign val="superscript"/>
        <sz val="11"/>
        <color theme="1"/>
        <rFont val="Calibri"/>
        <family val="2"/>
        <scheme val="minor"/>
      </rPr>
      <t>x</t>
    </r>
    <r>
      <rPr>
        <sz val="11"/>
        <color theme="1"/>
        <rFont val="Calibri"/>
        <family val="2"/>
        <scheme val="minor"/>
      </rPr>
      <t xml:space="preserve"> Headline GVP data is based on 2016-17 estimated, however production narrative is based on 2015-16 due to lack of detail available for 2016-17. </t>
    </r>
  </si>
  <si>
    <t>FC (2017)</t>
  </si>
  <si>
    <r>
      <t xml:space="preserve">Forestry Corporation of NSW (2017), </t>
    </r>
    <r>
      <rPr>
        <i/>
        <sz val="11"/>
        <color theme="1"/>
        <rFont val="Calibri"/>
        <family val="2"/>
        <scheme val="minor"/>
      </rPr>
      <t xml:space="preserve">Unpublished Forestry Harvest Data, </t>
    </r>
    <r>
      <rPr>
        <sz val="11"/>
        <color theme="1"/>
        <rFont val="Calibri"/>
        <family val="2"/>
        <scheme val="minor"/>
      </rPr>
      <t>Provided August 2017</t>
    </r>
  </si>
  <si>
    <r>
      <rPr>
        <vertAlign val="superscript"/>
        <sz val="11"/>
        <color theme="1"/>
        <rFont val="Calibri"/>
        <family val="2"/>
        <scheme val="minor"/>
      </rPr>
      <t>y</t>
    </r>
    <r>
      <rPr>
        <sz val="11"/>
        <color theme="1"/>
        <rFont val="Calibri"/>
        <family val="2"/>
        <scheme val="minor"/>
      </rPr>
      <t xml:space="preserve"> DPI estimate of NSW share of national industry value add. NSW share was determined from a 5 year average of NSW share of either sales and service income or GVP to 2014-15. Value add is conceptually different to GVP. Industry manufacturing may use imported inputs. Industry value add represents the value added by an industry to the intermediate inputs used by the industry. It is the measure of the contribution by manufacturing businesses to gross domestic product. As a measure of economic activity it is not equivalent to operating profit before tax. Data was sourced from ABARES (2016a)</t>
    </r>
  </si>
  <si>
    <t>Source Reference</t>
  </si>
  <si>
    <r>
      <t xml:space="preserve">Financial Times (2016), </t>
    </r>
    <r>
      <rPr>
        <i/>
        <sz val="11"/>
        <color theme="1"/>
        <rFont val="Calibri"/>
        <family val="2"/>
        <scheme val="minor"/>
      </rPr>
      <t xml:space="preserve">China to drop domestic grain price support, </t>
    </r>
    <r>
      <rPr>
        <sz val="11"/>
        <color theme="1"/>
        <rFont val="Calibri"/>
        <family val="2"/>
        <scheme val="minor"/>
      </rPr>
      <t>last accessed September 2017, &lt;https://www.ft.com/content/5cc188ce-c439-11e5-808f-8231cd71622e?mhq5j=e6&gt;</t>
    </r>
  </si>
  <si>
    <t>MACSOC (2017)</t>
  </si>
  <si>
    <t>ANZ (2015)</t>
  </si>
  <si>
    <r>
      <t xml:space="preserve">ANZ (2015) </t>
    </r>
    <r>
      <rPr>
        <i/>
        <sz val="11"/>
        <color theme="1"/>
        <rFont val="Calibri"/>
        <family val="2"/>
        <scheme val="minor"/>
      </rPr>
      <t>Horticulture Growing/ Processing Industry September 2015</t>
    </r>
    <r>
      <rPr>
        <sz val="11"/>
        <color theme="1"/>
        <rFont val="Calibri"/>
        <family val="2"/>
        <scheme val="minor"/>
      </rPr>
      <t>, last accessed August 2017 &lt; http://www.bca.com.au/docs/980d5874-41c9-4fd3-9960-04070194a527/ANZ%20-%20Horticulture_pdf.pdf&gt;</t>
    </r>
  </si>
  <si>
    <r>
      <t xml:space="preserve">Macadamia Society (2017) via Australian Broadcasting Corporation, </t>
    </r>
    <r>
      <rPr>
        <i/>
        <sz val="11"/>
        <color theme="1"/>
        <rFont val="Calibri"/>
        <family val="2"/>
        <scheme val="minor"/>
      </rPr>
      <t>China's most 'in demand' nuts influenced by its domestic production</t>
    </r>
    <r>
      <rPr>
        <sz val="11"/>
        <color theme="1"/>
        <rFont val="Calibri"/>
        <family val="2"/>
        <scheme val="minor"/>
      </rPr>
      <t>, last accessed August 2017 &lt;http://www.abc.net.au/news/rural/rural-news/2017-03-30/tree-nut-export-trends-china/8399758&gt;</t>
    </r>
  </si>
  <si>
    <t>2016-17</t>
  </si>
  <si>
    <r>
      <rPr>
        <vertAlign val="superscript"/>
        <sz val="11"/>
        <color theme="1"/>
        <rFont val="Calibri"/>
        <family val="2"/>
        <scheme val="minor"/>
      </rPr>
      <t xml:space="preserve">b </t>
    </r>
    <r>
      <rPr>
        <sz val="11"/>
        <color theme="1"/>
        <rFont val="Calibri"/>
        <family val="2"/>
        <scheme val="minor"/>
      </rPr>
      <t>Includes other cereals, other broadacre crops, hay &amp; silage</t>
    </r>
  </si>
  <si>
    <t>ABS (2018e)</t>
  </si>
  <si>
    <t>5 Year MA Change (%)</t>
  </si>
  <si>
    <t>$/tonne (Lupins)</t>
  </si>
  <si>
    <t>$/tonne (Soybeans)</t>
  </si>
  <si>
    <t>Grape Crush</t>
  </si>
  <si>
    <r>
      <t xml:space="preserve">Australian Bureau of Statistics (2018), </t>
    </r>
    <r>
      <rPr>
        <i/>
        <sz val="11"/>
        <color theme="1"/>
        <rFont val="Calibri"/>
        <family val="2"/>
        <scheme val="minor"/>
      </rPr>
      <t>Livestock Products, Australia, Jun 2018, last accessed August 2018</t>
    </r>
    <r>
      <rPr>
        <sz val="11"/>
        <color theme="1"/>
        <rFont val="Calibri"/>
        <family val="2"/>
        <scheme val="minor"/>
      </rPr>
      <t xml:space="preserve">
&lt;http://www.abs.gov.au/ausstats/abs@.nsf/PrimaryMainFeatures/7215.0?OpenDocument&gt;</t>
    </r>
  </si>
  <si>
    <t>5 Year MA</t>
  </si>
  <si>
    <t>5 Year Average</t>
  </si>
  <si>
    <t>Price (Eastern States OTH Goat Indicator)</t>
  </si>
  <si>
    <t>Vietnam</t>
  </si>
  <si>
    <t>China</t>
  </si>
  <si>
    <t>Italy</t>
  </si>
  <si>
    <t>Unidentified Country</t>
  </si>
  <si>
    <t>Papua New Guinea</t>
  </si>
  <si>
    <t>New Zealand</t>
  </si>
  <si>
    <t>Taiwan</t>
  </si>
  <si>
    <t>Bangladesh</t>
  </si>
  <si>
    <t>Pakistan</t>
  </si>
  <si>
    <t>Japan</t>
  </si>
  <si>
    <t>Philippines</t>
  </si>
  <si>
    <t>Singapore</t>
  </si>
  <si>
    <t>Hong Kong</t>
  </si>
  <si>
    <t>United States</t>
  </si>
  <si>
    <t>United Kingdom</t>
  </si>
  <si>
    <t>Solomon Islands</t>
  </si>
  <si>
    <t>Czech Republic</t>
  </si>
  <si>
    <t> 52.8</t>
  </si>
  <si>
    <t> 7.31</t>
  </si>
  <si>
    <t>Hunting</t>
  </si>
  <si>
    <t>Recreational Fishing</t>
  </si>
  <si>
    <t>UOW (2013) + DPI (2018a)</t>
  </si>
  <si>
    <t>RMCG (2017) + DPI (2018a)</t>
  </si>
  <si>
    <t>Dominion Consulting (2014), An economic survey of the Recreational fishing charter boat industry in NSW, July 2014</t>
  </si>
  <si>
    <t>DOMINION (2014) + DPI (2018a)</t>
  </si>
  <si>
    <r>
      <rPr>
        <i/>
        <vertAlign val="superscript"/>
        <sz val="11"/>
        <color theme="1"/>
        <rFont val="Calibri"/>
        <family val="2"/>
        <scheme val="minor"/>
      </rPr>
      <t>z</t>
    </r>
    <r>
      <rPr>
        <sz val="11"/>
        <color theme="1"/>
        <rFont val="Calibri"/>
        <family val="2"/>
        <scheme val="minor"/>
      </rPr>
      <t>Hunting, Recreational &amp; Charter fishing output value is an estimate of participant expenditure</t>
    </r>
  </si>
  <si>
    <r>
      <rPr>
        <i/>
        <vertAlign val="superscript"/>
        <sz val="11"/>
        <color theme="1"/>
        <rFont val="Calibri"/>
        <family val="2"/>
        <scheme val="minor"/>
      </rPr>
      <t xml:space="preserve">z </t>
    </r>
    <r>
      <rPr>
        <sz val="11"/>
        <color theme="1"/>
        <rFont val="Calibri"/>
        <family val="2"/>
        <scheme val="minor"/>
      </rPr>
      <t>Hunting, Recreational &amp; Charter fishing output value is an estimate of participant expenditure on these activities</t>
    </r>
  </si>
  <si>
    <t>University of Wollongong (2013). Developing a cost effective state wide expenditure survey method to measure the economic contribution of the recreational fishing sector in NSW, November 2013. Last accessed September 2018.</t>
  </si>
  <si>
    <t>RMCG (2017). Economic impact of recreational hunting in NSW, May 2017. Last accessed September 2018.</t>
  </si>
  <si>
    <r>
      <rPr>
        <i/>
        <vertAlign val="superscript"/>
        <sz val="11"/>
        <color theme="1"/>
        <rFont val="Calibri"/>
        <family val="2"/>
        <scheme val="minor"/>
      </rPr>
      <t>aa</t>
    </r>
    <r>
      <rPr>
        <sz val="11"/>
        <color theme="1"/>
        <rFont val="Calibri"/>
        <family val="2"/>
        <scheme val="minor"/>
      </rPr>
      <t xml:space="preserve"> 2015-16 Charter Fishing revenue figures were incomplete, figures are distorted to the downside as a result</t>
    </r>
  </si>
  <si>
    <r>
      <t>Charter Fishing</t>
    </r>
    <r>
      <rPr>
        <i/>
        <vertAlign val="superscript"/>
        <sz val="11"/>
        <color theme="1"/>
        <rFont val="Calibri"/>
        <family val="2"/>
        <scheme val="minor"/>
      </rPr>
      <t>aa</t>
    </r>
  </si>
  <si>
    <t>Price (National Gross Unit Value)</t>
  </si>
  <si>
    <t>PDI Statistics Tables 2019</t>
  </si>
  <si>
    <t>Niall Cummings, Insights &amp; Industry Analysis</t>
  </si>
  <si>
    <r>
      <t>2018-19</t>
    </r>
    <r>
      <rPr>
        <b/>
        <i/>
        <vertAlign val="superscript"/>
        <sz val="11"/>
        <color theme="1"/>
        <rFont val="Calibri"/>
        <family val="2"/>
        <scheme val="minor"/>
      </rPr>
      <t>e</t>
    </r>
  </si>
  <si>
    <t>2017-18</t>
  </si>
  <si>
    <t>000 hectares</t>
  </si>
  <si>
    <t>tonnes</t>
  </si>
  <si>
    <t>Republic of Korea</t>
  </si>
  <si>
    <t>GTA (2019)</t>
  </si>
  <si>
    <t>IHS Global Trade Atlas (GTA) (2019). Unpublished trade data accessed via subscription service. Last Accessed September 2019.</t>
  </si>
  <si>
    <t>ABARES (2019b)</t>
  </si>
  <si>
    <t>Australian Bureau of Agricultural and Resource Economics and Sciences (2019). Australian Crop Report, September 2019. Last accessed September 2019.</t>
  </si>
  <si>
    <t>ABARES (2019a)</t>
  </si>
  <si>
    <t xml:space="preserve">Australian Bureau of Agricultural and Resource Economics and Sciences (2019). Agricultural Commodities, September 2019. Last accessed September 2019. </t>
  </si>
  <si>
    <t>ABARES (2019c)</t>
  </si>
  <si>
    <t>Australian Bureau of Agricultural and Resource Economics and Sciences (2019). Australian Forest and Wood Product Statistics September – December 2018. Last accessed July 2019.</t>
  </si>
  <si>
    <t>ABS (2019a)</t>
  </si>
  <si>
    <t xml:space="preserve">Australian Bureau of Statistics (2019). 6401.0 Consumer Price Index, Australia, June 2019. Last accessed September 2019. </t>
  </si>
  <si>
    <t>ABS (2019c)</t>
  </si>
  <si>
    <t>Australian Bureau of Statistics (2019). 7121.0 Agricultural Commodities Produced, Australia 2017-2018. Last accessed September 2019.</t>
  </si>
  <si>
    <t>DA (2019a) + ABARES (2018)</t>
  </si>
  <si>
    <t>DA (2019d)</t>
  </si>
  <si>
    <r>
      <t xml:space="preserve">Dairy Australia (2019), </t>
    </r>
    <r>
      <rPr>
        <i/>
        <sz val="11"/>
        <rFont val="Calibri"/>
        <family val="2"/>
        <scheme val="minor"/>
      </rPr>
      <t>Farmgate Milk Price</t>
    </r>
    <r>
      <rPr>
        <sz val="11"/>
        <rFont val="Calibri"/>
        <family val="2"/>
        <scheme val="minor"/>
      </rPr>
      <t>, last accessed October 2019, &lt;https://www.dairyaustralia.com.au/industry/prices/farmgate-milk-price&gt;</t>
    </r>
  </si>
  <si>
    <t>Australian Bureau of Statistics (2019). 7503.0 Value of Agricultural Commodities Produced, Australia 2017-18. Last accessed September 2019. 
&lt;http://www.abs.gov.au/ausstats/abs@.nsf/mf/7503.0&gt;</t>
  </si>
  <si>
    <t>ABS (2019b) + DPI (2019r)</t>
  </si>
  <si>
    <t>ABS (2019f)</t>
  </si>
  <si>
    <t>Australian Bureau of Statistics (2019). 7215.0 Livestock Products, Australia, Jun 2019. Last accessed September 2019.
&lt;http://www.abs.gov.au/ausstats/abs@.nsf/PrimaryMainFeatures/7215.0?OpenDocument&gt;</t>
  </si>
  <si>
    <t>MLA (2019a)</t>
  </si>
  <si>
    <t>Meat and Livestock Australia (2019). Market Information and Statistics Database Custom Report. Last accessed September 2019.</t>
  </si>
  <si>
    <r>
      <t>WA (2019)</t>
    </r>
    <r>
      <rPr>
        <vertAlign val="superscript"/>
        <sz val="11"/>
        <rFont val="Calibri"/>
        <family val="2"/>
        <scheme val="minor"/>
      </rPr>
      <t>w</t>
    </r>
  </si>
  <si>
    <r>
      <t>Wine Australia (2019). National Vintage Report 2019. Last accessed September 2019.</t>
    </r>
    <r>
      <rPr>
        <i/>
        <sz val="11"/>
        <color theme="1"/>
        <rFont val="Calibri"/>
        <family val="2"/>
        <scheme val="minor"/>
      </rPr>
      <t xml:space="preserve"> </t>
    </r>
    <r>
      <rPr>
        <sz val="11"/>
        <color theme="1"/>
        <rFont val="Calibri"/>
        <family val="2"/>
        <scheme val="minor"/>
      </rPr>
      <t>&lt;https://www.wineaustralia.com/market-insights/national-vintage-report&gt;</t>
    </r>
  </si>
  <si>
    <t>DPI (2019c)</t>
  </si>
  <si>
    <t>NSW Department of Primary Industries (2019). Unpublished Internal Wild Caught Landings Estimates 2017-18. Provided May 2019.</t>
  </si>
  <si>
    <t>DPI (2019d)</t>
  </si>
  <si>
    <t>NSW Department of Primary Industries (2019). Aquaculture Production Report 2017-18. Last accessed September 2019. &lt;https://www.dpi.nsw.gov.au/fishing/aquaculture/publications/aquaculture-production-reports&gt;</t>
  </si>
  <si>
    <t>Trinidad &amp; Tobago</t>
  </si>
  <si>
    <t>Malaysia</t>
  </si>
  <si>
    <t>ABS (2019e)</t>
  </si>
  <si>
    <t>Australian Bureau of Statistics (2019). 6291.0 Labour force, Australia - Detailed Quarterly, Aug 2019. Last accessed September 2019</t>
  </si>
  <si>
    <t>Australian Bureau of Statistics (2019), Counts of Australian Businesses, Including Entries and Exits, Jun 2014 to Jun 2018, last accessed October 2019 &lt;http://www.abs.gov.au/ausstats/abs@.nsf/mf/8165.0&gt;</t>
  </si>
  <si>
    <t>ABS (2019g)</t>
  </si>
  <si>
    <t>October 2019</t>
  </si>
  <si>
    <t>ABS (2019d)</t>
  </si>
  <si>
    <t>Australian Bureau of Statistics (2019). 7218.0.55.001 Livestock and Meat Australia, Jun 2019. Last accessed September 2019.</t>
  </si>
  <si>
    <t>ASMC (2019)</t>
  </si>
  <si>
    <t>Australian Sugar Milling Council (2019). Sugar cane statistics. Last accessed July 2019.</t>
  </si>
  <si>
    <r>
      <t xml:space="preserve">Dairy Australia (2018), </t>
    </r>
    <r>
      <rPr>
        <i/>
        <sz val="11"/>
        <rFont val="Calibri"/>
        <family val="2"/>
        <scheme val="minor"/>
      </rPr>
      <t>NSW Milk Production Report June 2019,</t>
    </r>
    <r>
      <rPr>
        <sz val="11"/>
        <rFont val="Calibri"/>
        <family val="2"/>
        <scheme val="minor"/>
      </rPr>
      <t xml:space="preserve"> last accessed September 2018; Australian Bureau of Agricultural and Resource Economic Sciences (2018), </t>
    </r>
    <r>
      <rPr>
        <i/>
        <sz val="11"/>
        <rFont val="Calibri"/>
        <family val="2"/>
        <scheme val="minor"/>
      </rPr>
      <t>Agricultural Commodity Statistics, Dec 2018, last accessed August 2019</t>
    </r>
  </si>
  <si>
    <t>Date Prepared</t>
  </si>
  <si>
    <t>Sheep Meat</t>
  </si>
  <si>
    <t>Goat Meat</t>
  </si>
  <si>
    <t>Up to 2017-18 is from ABS &amp; 2018-19 is DPI estimate</t>
  </si>
  <si>
    <t>DPI estimates not published separately</t>
  </si>
  <si>
    <t>Goat</t>
  </si>
  <si>
    <t>Saudi Arabia</t>
  </si>
  <si>
    <t>United Arab Emirates</t>
  </si>
  <si>
    <r>
      <rPr>
        <vertAlign val="superscript"/>
        <sz val="11"/>
        <color theme="1"/>
        <rFont val="Calibri"/>
        <family val="2"/>
        <scheme val="minor"/>
      </rPr>
      <t xml:space="preserve">w </t>
    </r>
    <r>
      <rPr>
        <sz val="11"/>
        <color theme="1"/>
        <rFont val="Calibri"/>
        <family val="2"/>
        <scheme val="minor"/>
      </rPr>
      <t>Data is wine grape crush data sourced from WA (2019), which is separate to production data provided by the ABS</t>
    </r>
  </si>
  <si>
    <r>
      <rPr>
        <vertAlign val="superscript"/>
        <sz val="11"/>
        <color theme="1"/>
        <rFont val="Calibri"/>
        <family val="2"/>
        <scheme val="minor"/>
      </rPr>
      <t>r</t>
    </r>
    <r>
      <rPr>
        <sz val="11"/>
        <color theme="1"/>
        <rFont val="Calibri"/>
        <family val="2"/>
        <scheme val="minor"/>
      </rPr>
      <t xml:space="preserve"> Implied price basis ABARES (2019c) GVP &amp; production data</t>
    </r>
  </si>
  <si>
    <r>
      <rPr>
        <vertAlign val="superscript"/>
        <sz val="11"/>
        <color theme="1"/>
        <rFont val="Calibri"/>
        <family val="2"/>
        <scheme val="minor"/>
      </rPr>
      <t xml:space="preserve">q </t>
    </r>
    <r>
      <rPr>
        <sz val="11"/>
        <color theme="1"/>
        <rFont val="Calibri"/>
        <family val="2"/>
        <scheme val="minor"/>
      </rPr>
      <t>2016-17 data and prior is sourced from ABARES, while data since 2017-18 is sourced from Dairy Australia. Data may not be directly comparable</t>
    </r>
  </si>
  <si>
    <r>
      <rPr>
        <vertAlign val="superscript"/>
        <sz val="11"/>
        <color theme="1"/>
        <rFont val="Calibri"/>
        <family val="2"/>
        <scheme val="minor"/>
      </rPr>
      <t>d</t>
    </r>
    <r>
      <rPr>
        <sz val="11"/>
        <color theme="1"/>
        <rFont val="Calibri"/>
        <family val="2"/>
        <scheme val="minor"/>
      </rPr>
      <t xml:space="preserve"> DPI estimate only, subject to revision</t>
    </r>
  </si>
  <si>
    <r>
      <rPr>
        <vertAlign val="superscript"/>
        <sz val="11"/>
        <color theme="1"/>
        <rFont val="Calibri"/>
        <family val="2"/>
        <scheme val="minor"/>
      </rPr>
      <t xml:space="preserve">e </t>
    </r>
    <r>
      <rPr>
        <sz val="11"/>
        <color theme="1"/>
        <rFont val="Calibri"/>
        <family val="2"/>
        <scheme val="minor"/>
      </rPr>
      <t>Goat production data sourced from a seperate source to GVP data. Production data includes rangeland &amp; managed goats</t>
    </r>
  </si>
  <si>
    <r>
      <rPr>
        <vertAlign val="superscript"/>
        <sz val="11"/>
        <color theme="1"/>
        <rFont val="Calibri"/>
        <family val="2"/>
        <scheme val="minor"/>
      </rPr>
      <t>m</t>
    </r>
    <r>
      <rPr>
        <sz val="11"/>
        <color theme="1"/>
        <rFont val="Calibri"/>
        <family val="2"/>
        <scheme val="minor"/>
      </rPr>
      <t xml:space="preserve"> Negative values denote a net import trade flow</t>
    </r>
  </si>
  <si>
    <r>
      <rPr>
        <vertAlign val="superscript"/>
        <sz val="11"/>
        <color theme="1"/>
        <rFont val="Calibri"/>
        <family val="2"/>
        <scheme val="minor"/>
      </rPr>
      <t>l</t>
    </r>
    <r>
      <rPr>
        <sz val="11"/>
        <color theme="1"/>
        <rFont val="Calibri"/>
        <family val="2"/>
        <scheme val="minor"/>
      </rPr>
      <t xml:space="preserve"> DPI estimate using the same ANZSIC classifications in footnote l. Data is based on June 2017 using source ABS (2017g)</t>
    </r>
  </si>
  <si>
    <r>
      <rPr>
        <vertAlign val="superscript"/>
        <sz val="11"/>
        <color theme="1"/>
        <rFont val="Calibri"/>
        <family val="2"/>
        <scheme val="minor"/>
      </rPr>
      <t xml:space="preserve">k </t>
    </r>
    <r>
      <rPr>
        <sz val="11"/>
        <color theme="1"/>
        <rFont val="Calibri"/>
        <family val="2"/>
        <scheme val="minor"/>
      </rPr>
      <t>DPI estimate calculated as average total employment over four quarters to May 2018 of labour force employment data by relevant to each industry. Relevant ANZSIC divisions are Agriculture, Forestry and Fishing (division A) and relevant sub divisions of Manufacturing (division C). Data was sourced from ABS (2018f)</t>
    </r>
  </si>
  <si>
    <r>
      <rPr>
        <vertAlign val="superscript"/>
        <sz val="11"/>
        <color theme="1"/>
        <rFont val="Calibri"/>
        <family val="2"/>
        <scheme val="minor"/>
      </rPr>
      <t xml:space="preserve">j </t>
    </r>
    <r>
      <rPr>
        <sz val="11"/>
        <color theme="1"/>
        <rFont val="Calibri"/>
        <family val="2"/>
        <scheme val="minor"/>
      </rPr>
      <t>Includes Maize, Oats &amp; Triticale. Hay &amp; silage is excluded from this data</t>
    </r>
  </si>
  <si>
    <r>
      <rPr>
        <vertAlign val="superscript"/>
        <sz val="11"/>
        <color theme="1"/>
        <rFont val="Calibri"/>
        <family val="2"/>
        <scheme val="minor"/>
      </rPr>
      <t>i</t>
    </r>
    <r>
      <rPr>
        <sz val="11"/>
        <color theme="1"/>
        <rFont val="Calibri"/>
        <family val="2"/>
        <scheme val="minor"/>
      </rPr>
      <t xml:space="preserve"> Due to confidentiality, ABS export data restrictions have been applied and values are under-reported as a result</t>
    </r>
  </si>
  <si>
    <r>
      <rPr>
        <vertAlign val="superscript"/>
        <sz val="11"/>
        <color theme="1"/>
        <rFont val="Calibri"/>
        <family val="2"/>
        <scheme val="minor"/>
      </rPr>
      <t xml:space="preserve">f </t>
    </r>
    <r>
      <rPr>
        <sz val="11"/>
        <color theme="1"/>
        <rFont val="Calibri"/>
        <family val="2"/>
        <scheme val="minor"/>
      </rPr>
      <t>Sydney &amp; Pacific Rock Oysters only</t>
    </r>
  </si>
  <si>
    <r>
      <rPr>
        <vertAlign val="superscript"/>
        <sz val="11"/>
        <color theme="1"/>
        <rFont val="Calibri"/>
        <family val="2"/>
        <scheme val="minor"/>
      </rPr>
      <t xml:space="preserve">g </t>
    </r>
    <r>
      <rPr>
        <sz val="11"/>
        <color theme="1"/>
        <rFont val="Calibri"/>
        <family val="2"/>
        <scheme val="minor"/>
      </rPr>
      <t>Wine is excluded from the total, due to classification wine becomes a processed product post farm gate and therefore excluded</t>
    </r>
  </si>
  <si>
    <r>
      <rPr>
        <vertAlign val="superscript"/>
        <sz val="11"/>
        <color theme="1"/>
        <rFont val="Calibri"/>
        <family val="2"/>
        <scheme val="minor"/>
      </rPr>
      <t xml:space="preserve">h </t>
    </r>
    <r>
      <rPr>
        <sz val="11"/>
        <color theme="1"/>
        <rFont val="Calibri"/>
        <family val="2"/>
        <scheme val="minor"/>
      </rPr>
      <t>Includes but not exclusive to other cereals, other broadacre crops, hay &amp; silage, animal products n.e.d</t>
    </r>
  </si>
  <si>
    <r>
      <rPr>
        <vertAlign val="superscript"/>
        <sz val="11"/>
        <color theme="1"/>
        <rFont val="Calibri"/>
        <family val="2"/>
        <scheme val="minor"/>
      </rPr>
      <t xml:space="preserve">r </t>
    </r>
    <r>
      <rPr>
        <sz val="11"/>
        <color theme="1"/>
        <rFont val="Calibri"/>
        <family val="2"/>
        <scheme val="minor"/>
      </rPr>
      <t>subject to revision</t>
    </r>
  </si>
  <si>
    <r>
      <rPr>
        <vertAlign val="superscript"/>
        <sz val="11"/>
        <color theme="1"/>
        <rFont val="Calibri"/>
        <family val="2"/>
        <scheme val="minor"/>
      </rPr>
      <t xml:space="preserve">p </t>
    </r>
    <r>
      <rPr>
        <sz val="11"/>
        <color theme="1"/>
        <rFont val="Calibri"/>
        <family val="2"/>
        <scheme val="minor"/>
      </rPr>
      <t>2016-17 data and prior is sourced from ABARES, while data since 2017-18 is sourced from Dairy Australia. Data may not be directly comparable</t>
    </r>
  </si>
  <si>
    <r>
      <rPr>
        <vertAlign val="superscript"/>
        <sz val="11"/>
        <color theme="1"/>
        <rFont val="Calibri"/>
        <family val="2"/>
        <scheme val="minor"/>
      </rPr>
      <t xml:space="preserve">v </t>
    </r>
    <r>
      <rPr>
        <sz val="11"/>
        <color theme="1"/>
        <rFont val="Calibri"/>
        <family val="2"/>
        <scheme val="minor"/>
      </rPr>
      <t>Data is wine grape crush data sourced from WA (2019), which is separate to production data provided by the ABS</t>
    </r>
  </si>
  <si>
    <r>
      <rPr>
        <vertAlign val="superscript"/>
        <sz val="11"/>
        <color theme="1"/>
        <rFont val="Calibri"/>
        <family val="2"/>
        <scheme val="minor"/>
      </rPr>
      <t>n</t>
    </r>
    <r>
      <rPr>
        <sz val="11"/>
        <color theme="1"/>
        <rFont val="Calibri"/>
        <family val="2"/>
        <scheme val="minor"/>
      </rPr>
      <t xml:space="preserve"> From 2010-11 onwards, GVP is based on the ABS new EVAO threshold of greater than $40k, prior to this values are based on EVAO of greater than $5k</t>
    </r>
  </si>
  <si>
    <r>
      <t>Trade Balance</t>
    </r>
    <r>
      <rPr>
        <vertAlign val="superscript"/>
        <sz val="10"/>
        <color theme="1"/>
        <rFont val="Calibri"/>
        <family val="2"/>
        <scheme val="minor"/>
      </rPr>
      <t>m</t>
    </r>
  </si>
  <si>
    <r>
      <t>GVP</t>
    </r>
    <r>
      <rPr>
        <vertAlign val="superscript"/>
        <sz val="10"/>
        <color theme="1"/>
        <rFont val="Calibri"/>
        <family val="2"/>
        <scheme val="minor"/>
      </rPr>
      <t>n</t>
    </r>
  </si>
  <si>
    <r>
      <t>Trade Balance</t>
    </r>
    <r>
      <rPr>
        <vertAlign val="superscript"/>
        <sz val="11"/>
        <color theme="1"/>
        <rFont val="Calibri"/>
        <family val="2"/>
        <scheme val="minor"/>
      </rPr>
      <t>h,m</t>
    </r>
  </si>
  <si>
    <r>
      <t>Imports</t>
    </r>
    <r>
      <rPr>
        <vertAlign val="superscript"/>
        <sz val="11"/>
        <color theme="1"/>
        <rFont val="Calibri"/>
        <family val="2"/>
        <scheme val="minor"/>
      </rPr>
      <t>h</t>
    </r>
  </si>
  <si>
    <r>
      <t>Exports</t>
    </r>
    <r>
      <rPr>
        <vertAlign val="superscript"/>
        <sz val="11"/>
        <color theme="1"/>
        <rFont val="Calibri"/>
        <family val="2"/>
        <scheme val="minor"/>
      </rPr>
      <t>h</t>
    </r>
  </si>
  <si>
    <r>
      <t>Other Crops</t>
    </r>
    <r>
      <rPr>
        <i/>
        <vertAlign val="superscript"/>
        <sz val="11"/>
        <color theme="1"/>
        <rFont val="Calibri"/>
        <family val="2"/>
        <scheme val="minor"/>
      </rPr>
      <t>j</t>
    </r>
  </si>
  <si>
    <r>
      <t>2017-18</t>
    </r>
    <r>
      <rPr>
        <b/>
        <i/>
        <vertAlign val="superscript"/>
        <sz val="11"/>
        <color theme="1"/>
        <rFont val="Calibri"/>
        <family val="2"/>
        <scheme val="minor"/>
      </rPr>
      <t>r</t>
    </r>
  </si>
  <si>
    <r>
      <t>2018-19</t>
    </r>
    <r>
      <rPr>
        <b/>
        <i/>
        <vertAlign val="superscript"/>
        <sz val="11"/>
        <color theme="1"/>
        <rFont val="Calibri"/>
        <family val="2"/>
        <scheme val="minor"/>
      </rPr>
      <t>r</t>
    </r>
  </si>
  <si>
    <r>
      <rPr>
        <vertAlign val="superscript"/>
        <sz val="11"/>
        <color theme="1"/>
        <rFont val="Calibri"/>
        <family val="2"/>
        <scheme val="minor"/>
      </rPr>
      <t>q</t>
    </r>
    <r>
      <rPr>
        <sz val="11"/>
        <color theme="1"/>
        <rFont val="Calibri"/>
        <family val="2"/>
        <scheme val="minor"/>
      </rPr>
      <t xml:space="preserve"> Implied price basis ABARES (2018c) GVP &amp; production data</t>
    </r>
  </si>
  <si>
    <r>
      <t>Hardwood (Implied)</t>
    </r>
    <r>
      <rPr>
        <i/>
        <vertAlign val="superscript"/>
        <sz val="11"/>
        <color theme="1"/>
        <rFont val="Calibri"/>
        <family val="2"/>
        <scheme val="minor"/>
      </rPr>
      <t>q</t>
    </r>
  </si>
  <si>
    <r>
      <t>Softwood (Implied)</t>
    </r>
    <r>
      <rPr>
        <i/>
        <vertAlign val="superscript"/>
        <sz val="11"/>
        <color theme="1"/>
        <rFont val="Calibri"/>
        <family val="2"/>
        <scheme val="minor"/>
      </rPr>
      <t>q</t>
    </r>
  </si>
  <si>
    <r>
      <t>Other Commodities Sub-total</t>
    </r>
    <r>
      <rPr>
        <b/>
        <vertAlign val="superscript"/>
        <sz val="11"/>
        <color theme="1"/>
        <rFont val="Calibri"/>
        <family val="2"/>
        <scheme val="minor"/>
      </rPr>
      <t>h</t>
    </r>
  </si>
  <si>
    <r>
      <t>Wine Grape</t>
    </r>
    <r>
      <rPr>
        <i/>
        <vertAlign val="superscript"/>
        <sz val="11"/>
        <color theme="1"/>
        <rFont val="Calibri"/>
        <family val="2"/>
        <scheme val="minor"/>
      </rPr>
      <t>g</t>
    </r>
  </si>
  <si>
    <r>
      <t>Cotton Lint</t>
    </r>
    <r>
      <rPr>
        <i/>
        <vertAlign val="superscript"/>
        <sz val="11"/>
        <color theme="1"/>
        <rFont val="Calibri"/>
        <family val="2"/>
        <scheme val="minor"/>
      </rPr>
      <t>i</t>
    </r>
  </si>
  <si>
    <r>
      <t>Barley</t>
    </r>
    <r>
      <rPr>
        <i/>
        <vertAlign val="superscript"/>
        <sz val="11"/>
        <color theme="1"/>
        <rFont val="Calibri"/>
        <family val="2"/>
        <scheme val="minor"/>
      </rPr>
      <t>i</t>
    </r>
  </si>
  <si>
    <r>
      <t>Wine Grapes</t>
    </r>
    <r>
      <rPr>
        <i/>
        <vertAlign val="superscript"/>
        <sz val="11"/>
        <color theme="1"/>
        <rFont val="Calibri"/>
        <family val="2"/>
        <scheme val="minor"/>
      </rPr>
      <t>g</t>
    </r>
  </si>
  <si>
    <r>
      <t>Horticulture Sub-total</t>
    </r>
    <r>
      <rPr>
        <b/>
        <vertAlign val="superscript"/>
        <sz val="11"/>
        <color theme="1"/>
        <rFont val="Calibri"/>
        <family val="2"/>
        <scheme val="minor"/>
      </rPr>
      <t>g</t>
    </r>
  </si>
  <si>
    <r>
      <t>Directly employed</t>
    </r>
    <r>
      <rPr>
        <b/>
        <i/>
        <vertAlign val="superscript"/>
        <sz val="11"/>
        <color theme="1"/>
        <rFont val="Calibri"/>
        <family val="2"/>
        <scheme val="minor"/>
      </rPr>
      <t>k</t>
    </r>
  </si>
  <si>
    <r>
      <t>Manufacturing</t>
    </r>
    <r>
      <rPr>
        <b/>
        <i/>
        <vertAlign val="superscript"/>
        <sz val="11"/>
        <color theme="1"/>
        <rFont val="Calibri"/>
        <family val="2"/>
        <scheme val="minor"/>
      </rPr>
      <t>k</t>
    </r>
  </si>
  <si>
    <r>
      <t>Direct Businesses</t>
    </r>
    <r>
      <rPr>
        <b/>
        <i/>
        <vertAlign val="superscript"/>
        <sz val="11"/>
        <color theme="1"/>
        <rFont val="Calibri"/>
        <family val="2"/>
        <scheme val="minor"/>
      </rPr>
      <t>l</t>
    </r>
  </si>
  <si>
    <r>
      <t>Manufacturing Businesses</t>
    </r>
    <r>
      <rPr>
        <b/>
        <i/>
        <vertAlign val="superscript"/>
        <sz val="11"/>
        <color theme="1"/>
        <rFont val="Calibri"/>
        <family val="2"/>
        <scheme val="minor"/>
      </rPr>
      <t>l</t>
    </r>
  </si>
  <si>
    <r>
      <rPr>
        <vertAlign val="superscript"/>
        <sz val="11"/>
        <color theme="1"/>
        <rFont val="Calibri"/>
        <family val="2"/>
        <scheme val="minor"/>
      </rPr>
      <t>l</t>
    </r>
    <r>
      <rPr>
        <sz val="11"/>
        <color theme="1"/>
        <rFont val="Calibri"/>
        <family val="2"/>
        <scheme val="minor"/>
      </rPr>
      <t xml:space="preserve"> DPI estimate using the same ANZSIC classifications in footnote l. Data is based on June 2017 using source ABS (2019g)</t>
    </r>
  </si>
  <si>
    <r>
      <rPr>
        <vertAlign val="superscript"/>
        <sz val="11"/>
        <color theme="1"/>
        <rFont val="Calibri"/>
        <family val="2"/>
        <scheme val="minor"/>
      </rPr>
      <t xml:space="preserve">k </t>
    </r>
    <r>
      <rPr>
        <sz val="11"/>
        <color theme="1"/>
        <rFont val="Calibri"/>
        <family val="2"/>
        <scheme val="minor"/>
      </rPr>
      <t>DPI estimate calculated as average total employment over four quarters to May 2018 of labour force employment data by relevant to each industry. Relevant ANZSIC divisions are Agriculture, Forestry and Fishing (division A) and relevant sub divisions of Manufacturing (division C). Data was sourced from ABS (2019e)</t>
    </r>
  </si>
  <si>
    <r>
      <t>Goat (all goats)</t>
    </r>
    <r>
      <rPr>
        <i/>
        <vertAlign val="superscript"/>
        <sz val="11"/>
        <color theme="1"/>
        <rFont val="Calibri"/>
        <family val="2"/>
        <scheme val="minor"/>
      </rPr>
      <t>e</t>
    </r>
  </si>
  <si>
    <r>
      <t>Milk</t>
    </r>
    <r>
      <rPr>
        <i/>
        <vertAlign val="superscript"/>
        <sz val="11"/>
        <color theme="1"/>
        <rFont val="Calibri"/>
        <family val="2"/>
        <scheme val="minor"/>
      </rPr>
      <t>p</t>
    </r>
  </si>
  <si>
    <r>
      <t>Wine Grapes</t>
    </r>
    <r>
      <rPr>
        <i/>
        <vertAlign val="superscript"/>
        <sz val="11"/>
        <color theme="1"/>
        <rFont val="Calibri"/>
        <family val="2"/>
        <scheme val="minor"/>
      </rPr>
      <t>v</t>
    </r>
  </si>
  <si>
    <r>
      <t>Aquaculture (Oysters)</t>
    </r>
    <r>
      <rPr>
        <i/>
        <vertAlign val="superscript"/>
        <sz val="11"/>
        <color theme="1"/>
        <rFont val="Calibri"/>
        <family val="2"/>
        <scheme val="minor"/>
      </rPr>
      <t>f</t>
    </r>
  </si>
  <si>
    <r>
      <t>Industry Output</t>
    </r>
    <r>
      <rPr>
        <b/>
        <i/>
        <vertAlign val="superscript"/>
        <sz val="11"/>
        <color theme="1"/>
        <rFont val="Calibri"/>
        <family val="2"/>
        <scheme val="minor"/>
      </rPr>
      <t>n</t>
    </r>
  </si>
  <si>
    <r>
      <t>Wild Caught</t>
    </r>
    <r>
      <rPr>
        <i/>
        <vertAlign val="superscript"/>
        <sz val="11"/>
        <color theme="1"/>
        <rFont val="Calibri"/>
        <family val="2"/>
        <scheme val="minor"/>
      </rPr>
      <t>s</t>
    </r>
  </si>
  <si>
    <r>
      <t>Aquaculture</t>
    </r>
    <r>
      <rPr>
        <i/>
        <vertAlign val="superscript"/>
        <sz val="11"/>
        <color theme="1"/>
        <rFont val="Calibri"/>
        <family val="2"/>
        <scheme val="minor"/>
      </rPr>
      <t>s</t>
    </r>
  </si>
  <si>
    <r>
      <t>Hardwood</t>
    </r>
    <r>
      <rPr>
        <i/>
        <vertAlign val="superscript"/>
        <sz val="11"/>
        <color theme="1"/>
        <rFont val="Calibri"/>
        <family val="2"/>
        <scheme val="minor"/>
      </rPr>
      <t>s</t>
    </r>
  </si>
  <si>
    <r>
      <t>Softwood</t>
    </r>
    <r>
      <rPr>
        <i/>
        <vertAlign val="superscript"/>
        <sz val="11"/>
        <color theme="1"/>
        <rFont val="Calibri"/>
        <family val="2"/>
        <scheme val="minor"/>
      </rPr>
      <t>s</t>
    </r>
  </si>
  <si>
    <r>
      <t>Forestry &amp; Fisheries Sub-total</t>
    </r>
    <r>
      <rPr>
        <b/>
        <vertAlign val="superscript"/>
        <sz val="11"/>
        <color theme="1"/>
        <rFont val="Calibri"/>
        <family val="2"/>
        <scheme val="minor"/>
      </rPr>
      <t>s</t>
    </r>
  </si>
  <si>
    <r>
      <t>Hunting, Recreational &amp; Charter Fishing Sub-total</t>
    </r>
    <r>
      <rPr>
        <b/>
        <vertAlign val="superscript"/>
        <sz val="11"/>
        <color theme="1"/>
        <rFont val="Calibri"/>
        <family val="2"/>
        <scheme val="minor"/>
      </rPr>
      <t>w</t>
    </r>
  </si>
  <si>
    <r>
      <rPr>
        <i/>
        <vertAlign val="superscript"/>
        <sz val="11"/>
        <color theme="1"/>
        <rFont val="Calibri"/>
        <family val="2"/>
        <scheme val="minor"/>
      </rPr>
      <t>w</t>
    </r>
    <r>
      <rPr>
        <sz val="11"/>
        <color theme="1"/>
        <rFont val="Calibri"/>
        <family val="2"/>
        <scheme val="minor"/>
      </rPr>
      <t>Hunting, Recreational &amp; Charter fishing output value is an estimate of participant expenditure on these activities</t>
    </r>
  </si>
  <si>
    <r>
      <t>GVP</t>
    </r>
    <r>
      <rPr>
        <vertAlign val="superscript"/>
        <sz val="11"/>
        <color theme="1"/>
        <rFont val="Calibri"/>
        <family val="2"/>
        <scheme val="minor"/>
      </rPr>
      <t>b,n</t>
    </r>
  </si>
  <si>
    <r>
      <rPr>
        <vertAlign val="superscript"/>
        <sz val="11"/>
        <color theme="1"/>
        <rFont val="Calibri"/>
        <family val="2"/>
        <scheme val="minor"/>
      </rPr>
      <t xml:space="preserve">j </t>
    </r>
    <r>
      <rPr>
        <sz val="11"/>
        <color theme="1"/>
        <rFont val="Calibri"/>
        <family val="2"/>
        <scheme val="minor"/>
      </rPr>
      <t>Includes maize, oats &amp; triticale. Hay &amp; silage is excluded from this data</t>
    </r>
  </si>
  <si>
    <r>
      <t>Yield</t>
    </r>
    <r>
      <rPr>
        <vertAlign val="superscript"/>
        <sz val="11"/>
        <color theme="1"/>
        <rFont val="Calibri"/>
        <family val="2"/>
        <scheme val="minor"/>
      </rPr>
      <t>j</t>
    </r>
  </si>
  <si>
    <r>
      <t>GVP (Total)</t>
    </r>
    <r>
      <rPr>
        <vertAlign val="superscript"/>
        <sz val="11"/>
        <color theme="1"/>
        <rFont val="Calibri"/>
        <family val="2"/>
        <scheme val="minor"/>
      </rPr>
      <t>s</t>
    </r>
  </si>
  <si>
    <r>
      <t>GVP (Aquaculture)</t>
    </r>
    <r>
      <rPr>
        <vertAlign val="superscript"/>
        <sz val="11"/>
        <color theme="1"/>
        <rFont val="Calibri"/>
        <family val="2"/>
        <scheme val="minor"/>
      </rPr>
      <t>s</t>
    </r>
  </si>
  <si>
    <r>
      <t>GVP (Commercial Fisheries)</t>
    </r>
    <r>
      <rPr>
        <vertAlign val="superscript"/>
        <sz val="11"/>
        <color theme="1"/>
        <rFont val="Calibri"/>
        <family val="2"/>
        <scheme val="minor"/>
      </rPr>
      <t>s</t>
    </r>
  </si>
  <si>
    <r>
      <t>Consumer Price Index (Fish &amp; Other Seafood)</t>
    </r>
    <r>
      <rPr>
        <vertAlign val="superscript"/>
        <sz val="11"/>
        <color theme="1"/>
        <rFont val="Calibri"/>
        <family val="2"/>
        <scheme val="minor"/>
      </rPr>
      <t>u</t>
    </r>
  </si>
  <si>
    <r>
      <t>GVP (Softwood)</t>
    </r>
    <r>
      <rPr>
        <vertAlign val="superscript"/>
        <sz val="11"/>
        <color theme="1"/>
        <rFont val="Calibri"/>
        <family val="2"/>
        <scheme val="minor"/>
      </rPr>
      <t>s</t>
    </r>
  </si>
  <si>
    <r>
      <t>GVP (Hardwood)</t>
    </r>
    <r>
      <rPr>
        <vertAlign val="superscript"/>
        <sz val="11"/>
        <color theme="1"/>
        <rFont val="Calibri"/>
        <family val="2"/>
        <scheme val="minor"/>
      </rPr>
      <t>s</t>
    </r>
  </si>
  <si>
    <r>
      <t>Implied Price (Softwood)</t>
    </r>
    <r>
      <rPr>
        <vertAlign val="superscript"/>
        <sz val="11"/>
        <color theme="1"/>
        <rFont val="Calibri"/>
        <family val="2"/>
        <scheme val="minor"/>
      </rPr>
      <t>q</t>
    </r>
  </si>
  <si>
    <r>
      <t>Implied Price (Hardwood)</t>
    </r>
    <r>
      <rPr>
        <vertAlign val="superscript"/>
        <sz val="11"/>
        <color theme="1"/>
        <rFont val="Calibri"/>
        <family val="2"/>
        <scheme val="minor"/>
      </rPr>
      <t>q</t>
    </r>
  </si>
  <si>
    <r>
      <rPr>
        <vertAlign val="superscript"/>
        <sz val="11"/>
        <color theme="1"/>
        <rFont val="Calibri"/>
        <family val="2"/>
        <scheme val="minor"/>
      </rPr>
      <t>q</t>
    </r>
    <r>
      <rPr>
        <sz val="11"/>
        <color theme="1"/>
        <rFont val="Calibri"/>
        <family val="2"/>
        <scheme val="minor"/>
      </rPr>
      <t xml:space="preserve"> Implied price basis ABARES (2019c) GVP &amp; production data</t>
    </r>
  </si>
  <si>
    <r>
      <rPr>
        <vertAlign val="superscript"/>
        <sz val="11"/>
        <color theme="1"/>
        <rFont val="Calibri"/>
        <family val="2"/>
        <scheme val="minor"/>
      </rPr>
      <t xml:space="preserve">s </t>
    </r>
    <r>
      <rPr>
        <sz val="11"/>
        <color theme="1"/>
        <rFont val="Calibri"/>
        <family val="2"/>
        <scheme val="minor"/>
      </rPr>
      <t>GVP is sourced sperately to Agriculture GVP and EVAO threshold differs</t>
    </r>
  </si>
  <si>
    <r>
      <t>Production (wholemilk)</t>
    </r>
    <r>
      <rPr>
        <vertAlign val="superscript"/>
        <sz val="11"/>
        <color theme="1"/>
        <rFont val="Calibri"/>
        <family val="2"/>
        <scheme val="minor"/>
      </rPr>
      <t>p</t>
    </r>
  </si>
  <si>
    <r>
      <t>Consumer Price Index (Eggs)</t>
    </r>
    <r>
      <rPr>
        <vertAlign val="superscript"/>
        <sz val="11"/>
        <color theme="1"/>
        <rFont val="Calibri"/>
        <family val="2"/>
        <scheme val="minor"/>
      </rPr>
      <t>u</t>
    </r>
  </si>
  <si>
    <r>
      <t>Production (Goat Slaughter)</t>
    </r>
    <r>
      <rPr>
        <vertAlign val="superscript"/>
        <sz val="11"/>
        <color theme="1"/>
        <rFont val="Calibri"/>
        <family val="2"/>
        <scheme val="minor"/>
      </rPr>
      <t>e</t>
    </r>
  </si>
  <si>
    <r>
      <t>Consumer Price Index (Fruit)</t>
    </r>
    <r>
      <rPr>
        <vertAlign val="superscript"/>
        <sz val="11"/>
        <color theme="1"/>
        <rFont val="Calibri"/>
        <family val="2"/>
        <scheme val="minor"/>
      </rPr>
      <t>u</t>
    </r>
  </si>
  <si>
    <r>
      <t>Consumer Price Index (Vegetables)</t>
    </r>
    <r>
      <rPr>
        <vertAlign val="superscript"/>
        <sz val="11"/>
        <color theme="1"/>
        <rFont val="Calibri"/>
        <family val="2"/>
        <scheme val="minor"/>
      </rPr>
      <t>u</t>
    </r>
  </si>
  <si>
    <r>
      <rPr>
        <vertAlign val="superscript"/>
        <sz val="11"/>
        <color theme="1"/>
        <rFont val="Calibri"/>
        <family val="2"/>
        <scheme val="minor"/>
      </rPr>
      <t>o</t>
    </r>
    <r>
      <rPr>
        <sz val="11"/>
        <color theme="1"/>
        <rFont val="Calibri"/>
        <family val="2"/>
        <scheme val="minor"/>
      </rPr>
      <t xml:space="preserve"> Some values excluded due to lack of data availability</t>
    </r>
  </si>
  <si>
    <r>
      <t>Export Value</t>
    </r>
    <r>
      <rPr>
        <vertAlign val="superscript"/>
        <sz val="11"/>
        <color theme="1"/>
        <rFont val="Calibri"/>
        <family val="2"/>
        <scheme val="minor"/>
      </rPr>
      <t>i</t>
    </r>
  </si>
  <si>
    <r>
      <rPr>
        <vertAlign val="superscript"/>
        <sz val="11"/>
        <color theme="1"/>
        <rFont val="Calibri"/>
        <family val="2"/>
        <scheme val="minor"/>
      </rPr>
      <t xml:space="preserve">c </t>
    </r>
    <r>
      <rPr>
        <sz val="11"/>
        <color theme="1"/>
        <rFont val="Calibri"/>
        <family val="2"/>
        <scheme val="minor"/>
      </rPr>
      <t>Goat meat not defined explicitly for each year, but assumed from historic data. ABS intermittently indicates this does not include Rangeland Goats.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</si>
</sst>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_-;\-* #,##0_-;_-* &quot;-&quot;??_-;_-@_-"/>
    <numFmt numFmtId="165" formatCode="_-* #,##0.0_-;\-* #,##0.0_-;_-* &quot;-&quot;??_-;_-@_-"/>
    <numFmt numFmtId="166" formatCode="#,##0.0"/>
  </numFmts>
  <fonts count="3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sz val="11"/>
      <color rgb="FFFF0000"/>
      <name val="Calibri"/>
      <family val="2"/>
      <scheme val="minor"/>
    </font>
    <font>
      <i/>
      <sz val="11"/>
      <color rgb="FFFF0000"/>
      <name val="Calibri"/>
      <family val="2"/>
      <scheme val="minor"/>
    </font>
    <font>
      <b/>
      <i/>
      <sz val="11"/>
      <color theme="1"/>
      <name val="Calibri"/>
      <family val="2"/>
      <scheme val="minor"/>
    </font>
    <font>
      <sz val="11"/>
      <name val="Calibri"/>
      <family val="2"/>
      <scheme val="minor"/>
    </font>
    <font>
      <i/>
      <sz val="11"/>
      <name val="Calibri"/>
      <family val="2"/>
      <scheme val="minor"/>
    </font>
    <font>
      <b/>
      <vertAlign val="superscript"/>
      <sz val="11"/>
      <color theme="1"/>
      <name val="Calibri"/>
      <family val="2"/>
      <scheme val="minor"/>
    </font>
    <font>
      <b/>
      <i/>
      <sz val="11"/>
      <name val="Calibri"/>
      <family val="2"/>
      <scheme val="minor"/>
    </font>
    <font>
      <vertAlign val="superscript"/>
      <sz val="11"/>
      <color theme="1"/>
      <name val="Calibri"/>
      <family val="2"/>
      <scheme val="minor"/>
    </font>
    <font>
      <i/>
      <vertAlign val="superscript"/>
      <sz val="11"/>
      <color theme="1"/>
      <name val="Calibri"/>
      <family val="2"/>
      <scheme val="minor"/>
    </font>
    <font>
      <b/>
      <i/>
      <vertAlign val="superscript"/>
      <sz val="11"/>
      <color theme="1"/>
      <name val="Calibri"/>
      <family val="2"/>
      <scheme val="minor"/>
    </font>
    <font>
      <b/>
      <sz val="11"/>
      <name val="Calibri"/>
      <family val="2"/>
      <scheme val="minor"/>
    </font>
    <font>
      <vertAlign val="superscript"/>
      <sz val="11"/>
      <name val="Calibri"/>
      <family val="2"/>
      <scheme val="minor"/>
    </font>
    <font>
      <u/>
      <sz val="11"/>
      <color theme="10"/>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vertAlign val="superscript"/>
      <sz val="10"/>
      <color theme="1"/>
      <name val="Calibri"/>
      <family val="2"/>
      <scheme val="minor"/>
    </font>
    <font>
      <i/>
      <sz val="10"/>
      <name val="Calibri"/>
      <family val="2"/>
      <scheme val="minor"/>
    </font>
    <font>
      <sz val="10"/>
      <name val="Calibri"/>
      <family val="2"/>
      <scheme val="minor"/>
    </font>
    <font>
      <sz val="10"/>
      <color rgb="FFFF0000"/>
      <name val="Calibri"/>
      <family val="2"/>
      <scheme val="minor"/>
    </font>
    <font>
      <i/>
      <sz val="10"/>
      <color rgb="FFFF0000"/>
      <name val="Calibri"/>
      <family val="2"/>
      <scheme val="minor"/>
    </font>
    <font>
      <b/>
      <i/>
      <sz val="10"/>
      <color theme="1"/>
      <name val="Calibri"/>
      <family val="2"/>
      <scheme val="minor"/>
    </font>
    <font>
      <u/>
      <sz val="10"/>
      <color theme="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bgColor indexed="64"/>
      </patternFill>
    </fill>
  </fills>
  <borders count="30">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right style="thin">
        <color theme="1" tint="0.499984740745262"/>
      </right>
      <top/>
      <bottom/>
      <diagonal/>
    </border>
    <border>
      <left style="thin">
        <color theme="0"/>
      </left>
      <right style="thin">
        <color theme="0"/>
      </right>
      <top style="thin">
        <color theme="0"/>
      </top>
      <bottom style="thin">
        <color theme="0"/>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indexed="64"/>
      </top>
      <bottom/>
      <diagonal/>
    </border>
    <border>
      <left/>
      <right style="thin">
        <color theme="1" tint="0.499984740745262"/>
      </right>
      <top/>
      <bottom style="thin">
        <color indexed="64"/>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style="thin">
        <color theme="1" tint="0.499984740745262"/>
      </left>
      <right style="thin">
        <color theme="1" tint="0.499984740745262"/>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cellStyleXfs>
  <cellXfs count="327">
    <xf numFmtId="0" fontId="0" fillId="0" borderId="0" xfId="0"/>
    <xf numFmtId="0" fontId="4" fillId="0" borderId="0" xfId="0" applyFont="1"/>
    <xf numFmtId="0" fontId="0" fillId="0" borderId="0" xfId="0" applyFont="1"/>
    <xf numFmtId="0" fontId="0" fillId="0" borderId="2" xfId="0" applyBorder="1"/>
    <xf numFmtId="9" fontId="0" fillId="0" borderId="0" xfId="2" applyFont="1" applyBorder="1"/>
    <xf numFmtId="0" fontId="2" fillId="3" borderId="3" xfId="0" applyFont="1" applyFill="1" applyBorder="1"/>
    <xf numFmtId="0" fontId="10" fillId="0" borderId="0" xfId="0" applyFont="1"/>
    <xf numFmtId="0" fontId="10" fillId="0" borderId="1" xfId="0" applyFont="1" applyBorder="1"/>
    <xf numFmtId="0" fontId="6" fillId="0" borderId="0" xfId="0" applyFont="1"/>
    <xf numFmtId="9" fontId="1" fillId="0" borderId="0" xfId="2" applyFont="1" applyBorder="1"/>
    <xf numFmtId="0" fontId="2" fillId="3" borderId="0" xfId="0" applyFont="1" applyFill="1" applyBorder="1"/>
    <xf numFmtId="0" fontId="4" fillId="0" borderId="0" xfId="0" applyFont="1" applyBorder="1"/>
    <xf numFmtId="0" fontId="0" fillId="0" borderId="0" xfId="0" applyBorder="1"/>
    <xf numFmtId="9" fontId="4" fillId="0" borderId="0" xfId="2" applyFont="1" applyBorder="1"/>
    <xf numFmtId="0" fontId="0" fillId="2" borderId="0" xfId="0" applyFont="1" applyFill="1" applyBorder="1"/>
    <xf numFmtId="0" fontId="0" fillId="2" borderId="2" xfId="0" quotePrefix="1" applyFont="1" applyFill="1" applyBorder="1"/>
    <xf numFmtId="0" fontId="0" fillId="2" borderId="2" xfId="0" applyFont="1" applyFill="1" applyBorder="1"/>
    <xf numFmtId="164" fontId="6" fillId="2" borderId="0" xfId="1" applyNumberFormat="1" applyFont="1" applyFill="1" applyBorder="1"/>
    <xf numFmtId="9" fontId="1" fillId="2" borderId="0" xfId="2" applyFont="1" applyFill="1" applyBorder="1"/>
    <xf numFmtId="165" fontId="1" fillId="2" borderId="0" xfId="1" applyNumberFormat="1" applyFont="1" applyFill="1" applyBorder="1"/>
    <xf numFmtId="164" fontId="1" fillId="2" borderId="0" xfId="1" applyNumberFormat="1" applyFont="1" applyFill="1" applyBorder="1"/>
    <xf numFmtId="164" fontId="10" fillId="2" borderId="0" xfId="1" applyNumberFormat="1" applyFont="1" applyFill="1" applyBorder="1"/>
    <xf numFmtId="9" fontId="10" fillId="2" borderId="0" xfId="2" applyFont="1" applyFill="1" applyBorder="1"/>
    <xf numFmtId="0" fontId="3" fillId="0" borderId="0" xfId="0" applyFont="1" applyBorder="1"/>
    <xf numFmtId="0" fontId="0" fillId="2" borderId="0" xfId="0" applyFont="1" applyFill="1" applyBorder="1" applyAlignment="1">
      <alignment horizontal="left"/>
    </xf>
    <xf numFmtId="165" fontId="10" fillId="2" borderId="0" xfId="1" applyNumberFormat="1" applyFont="1" applyFill="1" applyBorder="1"/>
    <xf numFmtId="0" fontId="10" fillId="2" borderId="0" xfId="0" applyFont="1" applyFill="1" applyBorder="1" applyAlignment="1">
      <alignment horizontal="left"/>
    </xf>
    <xf numFmtId="0" fontId="10" fillId="0" borderId="0" xfId="0" applyFont="1" applyBorder="1"/>
    <xf numFmtId="0" fontId="9" fillId="0" borderId="0" xfId="0" applyFont="1" applyBorder="1"/>
    <xf numFmtId="164" fontId="6" fillId="2" borderId="1" xfId="1" applyNumberFormat="1" applyFont="1" applyFill="1" applyBorder="1"/>
    <xf numFmtId="164" fontId="10" fillId="2" borderId="1" xfId="1" applyNumberFormat="1" applyFont="1" applyFill="1" applyBorder="1"/>
    <xf numFmtId="165" fontId="10" fillId="2" borderId="1" xfId="1" applyNumberFormat="1" applyFont="1" applyFill="1" applyBorder="1"/>
    <xf numFmtId="0" fontId="3" fillId="0" borderId="1" xfId="0" applyFont="1" applyBorder="1"/>
    <xf numFmtId="0" fontId="2" fillId="3" borderId="6" xfId="0" applyFont="1" applyFill="1" applyBorder="1"/>
    <xf numFmtId="0" fontId="2" fillId="3" borderId="7" xfId="0" applyFont="1" applyFill="1" applyBorder="1"/>
    <xf numFmtId="0" fontId="2" fillId="3" borderId="8" xfId="0" applyFont="1" applyFill="1" applyBorder="1"/>
    <xf numFmtId="0" fontId="0" fillId="2" borderId="1" xfId="0" applyFont="1" applyFill="1" applyBorder="1"/>
    <xf numFmtId="0" fontId="0" fillId="2" borderId="2" xfId="0" applyFont="1" applyFill="1" applyBorder="1" applyAlignment="1"/>
    <xf numFmtId="0" fontId="2" fillId="3" borderId="6" xfId="0" applyFont="1" applyFill="1" applyBorder="1" applyAlignment="1">
      <alignment wrapText="1"/>
    </xf>
    <xf numFmtId="0" fontId="2" fillId="3" borderId="7" xfId="0" applyFont="1" applyFill="1" applyBorder="1" applyAlignment="1">
      <alignment wrapText="1"/>
    </xf>
    <xf numFmtId="0" fontId="2" fillId="3" borderId="8" xfId="0" applyFont="1" applyFill="1" applyBorder="1" applyAlignment="1">
      <alignment wrapText="1"/>
    </xf>
    <xf numFmtId="9" fontId="2" fillId="3" borderId="7" xfId="2" applyFont="1" applyFill="1" applyBorder="1" applyAlignment="1">
      <alignment wrapText="1"/>
    </xf>
    <xf numFmtId="0" fontId="2" fillId="3" borderId="1" xfId="0" applyFont="1" applyFill="1" applyBorder="1" applyAlignment="1">
      <alignment wrapText="1"/>
    </xf>
    <xf numFmtId="0" fontId="10" fillId="2" borderId="0" xfId="0" applyFont="1" applyFill="1" applyBorder="1"/>
    <xf numFmtId="0" fontId="10" fillId="2" borderId="2" xfId="0" applyFont="1" applyFill="1" applyBorder="1" applyAlignment="1"/>
    <xf numFmtId="164" fontId="0" fillId="0" borderId="0" xfId="1" applyNumberFormat="1" applyFont="1" applyBorder="1"/>
    <xf numFmtId="43" fontId="10" fillId="2" borderId="0" xfId="1" applyFont="1" applyFill="1" applyBorder="1"/>
    <xf numFmtId="43" fontId="10" fillId="2" borderId="1" xfId="1" applyFont="1" applyFill="1" applyBorder="1"/>
    <xf numFmtId="0" fontId="0" fillId="0" borderId="1" xfId="0" applyFont="1" applyBorder="1"/>
    <xf numFmtId="0" fontId="0" fillId="0" borderId="0" xfId="0" applyFont="1" applyBorder="1"/>
    <xf numFmtId="164" fontId="1" fillId="2" borderId="1" xfId="1" applyNumberFormat="1" applyFont="1" applyFill="1" applyBorder="1"/>
    <xf numFmtId="165" fontId="1" fillId="2" borderId="1" xfId="1" applyNumberFormat="1" applyFont="1" applyFill="1" applyBorder="1"/>
    <xf numFmtId="43" fontId="10" fillId="2" borderId="0" xfId="1" applyNumberFormat="1" applyFont="1" applyFill="1" applyBorder="1"/>
    <xf numFmtId="0" fontId="13" fillId="0" borderId="0" xfId="0" applyFont="1" applyBorder="1"/>
    <xf numFmtId="164" fontId="4" fillId="0" borderId="0" xfId="1" applyNumberFormat="1" applyFont="1" applyBorder="1"/>
    <xf numFmtId="0" fontId="0" fillId="2" borderId="4" xfId="0" applyFont="1" applyFill="1" applyBorder="1"/>
    <xf numFmtId="164" fontId="1" fillId="2" borderId="3" xfId="1" applyNumberFormat="1" applyFont="1" applyFill="1" applyBorder="1"/>
    <xf numFmtId="9" fontId="1" fillId="2" borderId="3" xfId="2" applyFont="1" applyFill="1" applyBorder="1"/>
    <xf numFmtId="0" fontId="0" fillId="2" borderId="3" xfId="0" applyFont="1" applyFill="1" applyBorder="1"/>
    <xf numFmtId="0" fontId="4" fillId="0" borderId="0" xfId="0" applyFont="1" applyAlignment="1">
      <alignment wrapText="1"/>
    </xf>
    <xf numFmtId="164" fontId="11" fillId="2" borderId="0" xfId="1" applyNumberFormat="1" applyFont="1" applyFill="1" applyBorder="1"/>
    <xf numFmtId="0" fontId="10" fillId="2" borderId="3" xfId="0" applyFont="1" applyFill="1" applyBorder="1"/>
    <xf numFmtId="0" fontId="10" fillId="2" borderId="4" xfId="0" applyFont="1" applyFill="1" applyBorder="1"/>
    <xf numFmtId="9" fontId="10" fillId="2" borderId="1" xfId="2" applyFont="1" applyFill="1" applyBorder="1"/>
    <xf numFmtId="9" fontId="11" fillId="2" borderId="0" xfId="2" applyFont="1" applyFill="1" applyBorder="1"/>
    <xf numFmtId="165" fontId="10" fillId="2" borderId="0" xfId="1" applyNumberFormat="1" applyFont="1" applyFill="1" applyBorder="1" applyAlignment="1">
      <alignment horizontal="right"/>
    </xf>
    <xf numFmtId="43" fontId="10" fillId="2" borderId="0" xfId="1" applyNumberFormat="1" applyFont="1" applyFill="1" applyBorder="1" applyAlignment="1">
      <alignment horizontal="right"/>
    </xf>
    <xf numFmtId="43" fontId="8" fillId="2" borderId="0" xfId="1" applyFont="1" applyFill="1" applyBorder="1" applyAlignment="1">
      <alignment horizontal="right"/>
    </xf>
    <xf numFmtId="164" fontId="3" fillId="2" borderId="0" xfId="1" applyNumberFormat="1" applyFont="1" applyFill="1" applyBorder="1" applyAlignment="1">
      <alignment horizontal="right"/>
    </xf>
    <xf numFmtId="164" fontId="8" fillId="2" borderId="0" xfId="1" applyNumberFormat="1" applyFont="1" applyFill="1" applyBorder="1" applyAlignment="1">
      <alignment horizontal="right"/>
    </xf>
    <xf numFmtId="9" fontId="8" fillId="2" borderId="0" xfId="2" applyFont="1" applyFill="1" applyBorder="1" applyAlignment="1">
      <alignment horizontal="right"/>
    </xf>
    <xf numFmtId="9" fontId="3" fillId="2" borderId="0" xfId="2" applyFont="1" applyFill="1" applyBorder="1" applyAlignment="1">
      <alignment horizontal="right"/>
    </xf>
    <xf numFmtId="0" fontId="4" fillId="0" borderId="9" xfId="0" applyFont="1" applyBorder="1"/>
    <xf numFmtId="164" fontId="4" fillId="0" borderId="9" xfId="0" applyNumberFormat="1" applyFont="1" applyBorder="1"/>
    <xf numFmtId="164" fontId="7" fillId="0" borderId="9" xfId="0" applyNumberFormat="1" applyFont="1" applyBorder="1"/>
    <xf numFmtId="9" fontId="7" fillId="0" borderId="9" xfId="2" applyFont="1" applyBorder="1"/>
    <xf numFmtId="0" fontId="0" fillId="0" borderId="9" xfId="0" applyBorder="1"/>
    <xf numFmtId="0" fontId="6" fillId="0" borderId="9" xfId="0" applyFont="1" applyBorder="1"/>
    <xf numFmtId="164" fontId="6" fillId="0" borderId="9" xfId="1" applyNumberFormat="1" applyFont="1" applyBorder="1"/>
    <xf numFmtId="164" fontId="0" fillId="0" borderId="9" xfId="1" applyNumberFormat="1" applyFont="1" applyBorder="1"/>
    <xf numFmtId="164" fontId="4" fillId="0" borderId="9" xfId="1" applyNumberFormat="1" applyFont="1" applyBorder="1"/>
    <xf numFmtId="0" fontId="0" fillId="0" borderId="0" xfId="0" applyFont="1" applyFill="1" applyBorder="1"/>
    <xf numFmtId="164" fontId="8" fillId="0" borderId="9" xfId="1" applyNumberFormat="1" applyFont="1" applyBorder="1" applyAlignment="1">
      <alignment horizontal="right"/>
    </xf>
    <xf numFmtId="43" fontId="3" fillId="2" borderId="0" xfId="1" applyFont="1" applyFill="1" applyBorder="1" applyAlignment="1">
      <alignment horizontal="right"/>
    </xf>
    <xf numFmtId="165" fontId="6" fillId="2" borderId="1" xfId="1" applyNumberFormat="1" applyFont="1" applyFill="1" applyBorder="1"/>
    <xf numFmtId="165" fontId="6" fillId="2" borderId="0" xfId="1" applyNumberFormat="1" applyFont="1" applyFill="1" applyBorder="1"/>
    <xf numFmtId="43" fontId="6" fillId="2" borderId="0" xfId="1" applyNumberFormat="1" applyFont="1" applyFill="1" applyBorder="1"/>
    <xf numFmtId="9" fontId="1" fillId="2" borderId="0" xfId="2" applyFont="1" applyFill="1" applyBorder="1" applyAlignment="1">
      <alignment horizontal="right"/>
    </xf>
    <xf numFmtId="9" fontId="10" fillId="2" borderId="0" xfId="2" applyFont="1" applyFill="1" applyBorder="1" applyAlignment="1">
      <alignment horizontal="right"/>
    </xf>
    <xf numFmtId="9" fontId="1" fillId="2" borderId="3" xfId="2" applyFont="1" applyFill="1" applyBorder="1" applyAlignment="1">
      <alignment horizontal="right"/>
    </xf>
    <xf numFmtId="9" fontId="0" fillId="2" borderId="3" xfId="2" applyFont="1" applyFill="1" applyBorder="1" applyAlignment="1">
      <alignment horizontal="right"/>
    </xf>
    <xf numFmtId="164" fontId="7" fillId="0" borderId="9" xfId="0" applyNumberFormat="1" applyFont="1" applyBorder="1" applyAlignment="1">
      <alignment horizontal="right"/>
    </xf>
    <xf numFmtId="9" fontId="7" fillId="0" borderId="9" xfId="2" applyFont="1" applyBorder="1" applyAlignment="1">
      <alignment horizontal="right"/>
    </xf>
    <xf numFmtId="9" fontId="8" fillId="0" borderId="9" xfId="2" applyFont="1" applyBorder="1" applyAlignment="1">
      <alignment horizontal="right"/>
    </xf>
    <xf numFmtId="164" fontId="7" fillId="0" borderId="9" xfId="1" applyNumberFormat="1" applyFont="1" applyBorder="1" applyAlignment="1">
      <alignment horizontal="right"/>
    </xf>
    <xf numFmtId="0" fontId="6" fillId="0" borderId="0" xfId="0" applyFont="1" applyAlignment="1">
      <alignment horizontal="right"/>
    </xf>
    <xf numFmtId="0" fontId="0" fillId="0" borderId="0" xfId="0" applyAlignment="1">
      <alignment horizontal="right"/>
    </xf>
    <xf numFmtId="43" fontId="1" fillId="2" borderId="0" xfId="1" applyFont="1" applyFill="1" applyBorder="1"/>
    <xf numFmtId="164" fontId="6" fillId="0" borderId="9" xfId="1" applyNumberFormat="1" applyFont="1" applyBorder="1" applyAlignment="1">
      <alignment horizontal="right"/>
    </xf>
    <xf numFmtId="9" fontId="6" fillId="0" borderId="9" xfId="2" applyFont="1" applyBorder="1" applyAlignment="1">
      <alignment horizontal="right"/>
    </xf>
    <xf numFmtId="0" fontId="0" fillId="2" borderId="1" xfId="0" applyFont="1" applyFill="1" applyBorder="1" applyAlignment="1">
      <alignment vertical="center"/>
    </xf>
    <xf numFmtId="164" fontId="4" fillId="0" borderId="9" xfId="1" applyNumberFormat="1" applyFont="1" applyBorder="1" applyAlignment="1">
      <alignment horizontal="left" indent="3"/>
    </xf>
    <xf numFmtId="164" fontId="0" fillId="0" borderId="0" xfId="0" applyNumberFormat="1"/>
    <xf numFmtId="0" fontId="0" fillId="0" borderId="9" xfId="0" applyFont="1" applyBorder="1"/>
    <xf numFmtId="0" fontId="0" fillId="0" borderId="10" xfId="0" applyFont="1" applyFill="1" applyBorder="1"/>
    <xf numFmtId="0" fontId="0" fillId="2" borderId="11" xfId="0" applyFont="1" applyFill="1" applyBorder="1"/>
    <xf numFmtId="0" fontId="0" fillId="2" borderId="11" xfId="0" quotePrefix="1" applyFont="1" applyFill="1" applyBorder="1"/>
    <xf numFmtId="0" fontId="0" fillId="0" borderId="2" xfId="0" applyFont="1" applyFill="1" applyBorder="1" applyAlignment="1"/>
    <xf numFmtId="0" fontId="10" fillId="0" borderId="0" xfId="0" applyFont="1" applyFill="1" applyBorder="1"/>
    <xf numFmtId="0" fontId="10" fillId="0" borderId="2" xfId="0" applyFont="1" applyFill="1" applyBorder="1" applyAlignment="1"/>
    <xf numFmtId="0" fontId="6" fillId="2" borderId="2" xfId="0" applyFont="1" applyFill="1" applyBorder="1"/>
    <xf numFmtId="9" fontId="6" fillId="0" borderId="9" xfId="2" applyFont="1" applyBorder="1"/>
    <xf numFmtId="9" fontId="4" fillId="0" borderId="9" xfId="2" applyFont="1" applyBorder="1"/>
    <xf numFmtId="9" fontId="11" fillId="2" borderId="0" xfId="2" applyFont="1" applyFill="1" applyBorder="1" applyAlignment="1">
      <alignment horizontal="right"/>
    </xf>
    <xf numFmtId="164" fontId="17" fillId="0" borderId="9" xfId="0" applyNumberFormat="1" applyFont="1" applyBorder="1"/>
    <xf numFmtId="9" fontId="17" fillId="0" borderId="9" xfId="2" applyFont="1" applyBorder="1"/>
    <xf numFmtId="164" fontId="11" fillId="0" borderId="9" xfId="1" applyNumberFormat="1" applyFont="1" applyBorder="1"/>
    <xf numFmtId="9" fontId="11" fillId="0" borderId="9" xfId="2" applyFont="1" applyBorder="1"/>
    <xf numFmtId="164" fontId="17" fillId="0" borderId="9" xfId="1" applyNumberFormat="1" applyFont="1" applyBorder="1"/>
    <xf numFmtId="164" fontId="11" fillId="0" borderId="9" xfId="1" applyNumberFormat="1" applyFont="1" applyBorder="1" applyAlignment="1">
      <alignment horizontal="right"/>
    </xf>
    <xf numFmtId="9" fontId="11" fillId="0" borderId="9" xfId="2" applyFont="1" applyBorder="1" applyAlignment="1">
      <alignment horizontal="right"/>
    </xf>
    <xf numFmtId="0" fontId="0" fillId="2" borderId="5" xfId="0" applyFont="1" applyFill="1" applyBorder="1"/>
    <xf numFmtId="0" fontId="0" fillId="2" borderId="3" xfId="0" applyFont="1" applyFill="1" applyBorder="1" applyAlignment="1">
      <alignment horizontal="left"/>
    </xf>
    <xf numFmtId="0" fontId="0" fillId="0" borderId="0" xfId="0" applyFont="1" applyFill="1" applyBorder="1" applyAlignment="1"/>
    <xf numFmtId="9" fontId="1" fillId="2" borderId="0" xfId="2" applyNumberFormat="1" applyFont="1" applyFill="1" applyBorder="1"/>
    <xf numFmtId="0" fontId="19" fillId="0" borderId="12" xfId="3" applyBorder="1"/>
    <xf numFmtId="9" fontId="17" fillId="0" borderId="9" xfId="2" applyFont="1" applyBorder="1" applyAlignment="1">
      <alignment horizontal="right"/>
    </xf>
    <xf numFmtId="0" fontId="10" fillId="0" borderId="0" xfId="0" applyFont="1" applyFill="1" applyBorder="1" applyAlignment="1"/>
    <xf numFmtId="0" fontId="0" fillId="0" borderId="2" xfId="0" applyBorder="1" applyAlignment="1"/>
    <xf numFmtId="0" fontId="10" fillId="0" borderId="0" xfId="0" applyFont="1" applyFill="1" applyBorder="1" applyAlignment="1">
      <alignment wrapText="1"/>
    </xf>
    <xf numFmtId="0" fontId="0" fillId="0" borderId="0" xfId="0" applyBorder="1" applyAlignment="1"/>
    <xf numFmtId="0" fontId="4" fillId="0" borderId="0" xfId="0" applyFont="1" applyAlignment="1">
      <alignment horizontal="left"/>
    </xf>
    <xf numFmtId="0" fontId="0" fillId="0" borderId="0" xfId="0" applyAlignment="1">
      <alignment horizontal="left"/>
    </xf>
    <xf numFmtId="164" fontId="11" fillId="2" borderId="0" xfId="1" applyNumberFormat="1" applyFont="1" applyFill="1" applyBorder="1" applyAlignment="1">
      <alignment horizontal="right"/>
    </xf>
    <xf numFmtId="164" fontId="10" fillId="2" borderId="0" xfId="1" applyNumberFormat="1" applyFont="1" applyFill="1" applyBorder="1" applyAlignment="1">
      <alignment horizontal="right"/>
    </xf>
    <xf numFmtId="165" fontId="11" fillId="2" borderId="0" xfId="1" applyNumberFormat="1" applyFont="1" applyFill="1" applyBorder="1" applyAlignment="1">
      <alignment horizontal="right"/>
    </xf>
    <xf numFmtId="164" fontId="17" fillId="0" borderId="9" xfId="1" applyNumberFormat="1" applyFont="1" applyBorder="1" applyAlignment="1">
      <alignment horizontal="right"/>
    </xf>
    <xf numFmtId="1" fontId="11" fillId="0" borderId="9" xfId="1" applyNumberFormat="1" applyFont="1" applyBorder="1" applyAlignment="1">
      <alignment horizontal="right"/>
    </xf>
    <xf numFmtId="1" fontId="10" fillId="2" borderId="0" xfId="1" applyNumberFormat="1" applyFont="1" applyFill="1" applyBorder="1"/>
    <xf numFmtId="3" fontId="11" fillId="2" borderId="0" xfId="1" applyNumberFormat="1" applyFont="1" applyFill="1" applyBorder="1"/>
    <xf numFmtId="3" fontId="1" fillId="2" borderId="0" xfId="2" applyNumberFormat="1" applyFont="1" applyFill="1" applyBorder="1" applyAlignment="1">
      <alignment horizontal="right"/>
    </xf>
    <xf numFmtId="3" fontId="10" fillId="2" borderId="0" xfId="2" applyNumberFormat="1" applyFont="1" applyFill="1" applyBorder="1" applyAlignment="1">
      <alignment horizontal="right"/>
    </xf>
    <xf numFmtId="3" fontId="3" fillId="2" borderId="0" xfId="2" applyNumberFormat="1" applyFont="1" applyFill="1" applyBorder="1" applyAlignment="1">
      <alignment horizontal="right"/>
    </xf>
    <xf numFmtId="3" fontId="11" fillId="0" borderId="9" xfId="2" applyNumberFormat="1" applyFont="1" applyBorder="1" applyAlignment="1">
      <alignment horizontal="right"/>
    </xf>
    <xf numFmtId="3" fontId="11" fillId="0" borderId="9" xfId="2" applyNumberFormat="1" applyFont="1" applyBorder="1"/>
    <xf numFmtId="3" fontId="4" fillId="0" borderId="9" xfId="2" applyNumberFormat="1" applyFont="1" applyBorder="1"/>
    <xf numFmtId="3" fontId="6" fillId="0" borderId="9" xfId="2" applyNumberFormat="1" applyFont="1" applyBorder="1"/>
    <xf numFmtId="3" fontId="6" fillId="0" borderId="9" xfId="2" applyNumberFormat="1" applyFont="1" applyBorder="1" applyAlignment="1">
      <alignment horizontal="right"/>
    </xf>
    <xf numFmtId="3" fontId="7" fillId="0" borderId="9" xfId="2" applyNumberFormat="1" applyFont="1" applyBorder="1" applyAlignment="1">
      <alignment horizontal="right"/>
    </xf>
    <xf numFmtId="3" fontId="8" fillId="0" borderId="9" xfId="2" applyNumberFormat="1" applyFont="1" applyBorder="1" applyAlignment="1">
      <alignment horizontal="right"/>
    </xf>
    <xf numFmtId="3" fontId="17" fillId="0" borderId="9" xfId="2" applyNumberFormat="1" applyFont="1" applyBorder="1"/>
    <xf numFmtId="3" fontId="10" fillId="2" borderId="0" xfId="2" applyNumberFormat="1" applyFont="1" applyFill="1" applyBorder="1"/>
    <xf numFmtId="3" fontId="1" fillId="2" borderId="0" xfId="2" applyNumberFormat="1" applyFont="1" applyFill="1" applyBorder="1"/>
    <xf numFmtId="3" fontId="11" fillId="2" borderId="0" xfId="2" applyNumberFormat="1" applyFont="1" applyFill="1" applyBorder="1" applyAlignment="1">
      <alignment horizontal="right"/>
    </xf>
    <xf numFmtId="3" fontId="8" fillId="2" borderId="0" xfId="2" applyNumberFormat="1" applyFont="1" applyFill="1" applyBorder="1" applyAlignment="1">
      <alignment horizontal="right"/>
    </xf>
    <xf numFmtId="4" fontId="1" fillId="2" borderId="0" xfId="2" applyNumberFormat="1" applyFont="1" applyFill="1" applyBorder="1" applyAlignment="1">
      <alignment horizontal="right"/>
    </xf>
    <xf numFmtId="166" fontId="1" fillId="2" borderId="0" xfId="2" applyNumberFormat="1" applyFont="1" applyFill="1" applyBorder="1" applyAlignment="1">
      <alignment horizontal="right"/>
    </xf>
    <xf numFmtId="4" fontId="10" fillId="2" borderId="0" xfId="2" applyNumberFormat="1" applyFont="1" applyFill="1" applyBorder="1" applyAlignment="1">
      <alignment horizontal="right"/>
    </xf>
    <xf numFmtId="164" fontId="6" fillId="0" borderId="13" xfId="1" applyNumberFormat="1" applyFont="1" applyBorder="1"/>
    <xf numFmtId="164" fontId="6" fillId="0" borderId="15" xfId="1" applyNumberFormat="1" applyFont="1" applyBorder="1"/>
    <xf numFmtId="164" fontId="11" fillId="0" borderId="15" xfId="1" applyNumberFormat="1" applyFont="1" applyBorder="1"/>
    <xf numFmtId="164" fontId="4" fillId="0" borderId="15" xfId="1" applyNumberFormat="1" applyFont="1" applyBorder="1"/>
    <xf numFmtId="164" fontId="0" fillId="0" borderId="15" xfId="1" applyNumberFormat="1" applyFont="1" applyBorder="1"/>
    <xf numFmtId="164" fontId="0" fillId="0" borderId="16" xfId="1" applyNumberFormat="1" applyFont="1" applyBorder="1"/>
    <xf numFmtId="3" fontId="10" fillId="2" borderId="0" xfId="1" applyNumberFormat="1" applyFont="1" applyFill="1" applyBorder="1" applyAlignment="1">
      <alignment horizontal="right"/>
    </xf>
    <xf numFmtId="166" fontId="1" fillId="2" borderId="0" xfId="1" applyNumberFormat="1" applyFont="1" applyFill="1" applyBorder="1"/>
    <xf numFmtId="43" fontId="1" fillId="2" borderId="1" xfId="1" applyNumberFormat="1" applyFont="1" applyFill="1" applyBorder="1"/>
    <xf numFmtId="43" fontId="1" fillId="2" borderId="0" xfId="1" applyNumberFormat="1" applyFont="1" applyFill="1" applyBorder="1"/>
    <xf numFmtId="0" fontId="10" fillId="2" borderId="2" xfId="0" applyFont="1" applyFill="1" applyBorder="1" applyAlignment="1">
      <alignment wrapText="1"/>
    </xf>
    <xf numFmtId="0" fontId="0" fillId="2" borderId="2" xfId="0" applyFont="1" applyFill="1" applyBorder="1" applyAlignment="1">
      <alignment wrapText="1"/>
    </xf>
    <xf numFmtId="166" fontId="1" fillId="2" borderId="1" xfId="1" applyNumberFormat="1" applyFont="1" applyFill="1" applyBorder="1"/>
    <xf numFmtId="3" fontId="10" fillId="2" borderId="1" xfId="1" applyNumberFormat="1" applyFont="1" applyFill="1" applyBorder="1"/>
    <xf numFmtId="3" fontId="10" fillId="2" borderId="0" xfId="1" applyNumberFormat="1" applyFont="1" applyFill="1" applyBorder="1"/>
    <xf numFmtId="166" fontId="11" fillId="2" borderId="0" xfId="1" applyNumberFormat="1" applyFont="1" applyFill="1" applyBorder="1"/>
    <xf numFmtId="166" fontId="10" fillId="2" borderId="0" xfId="2" applyNumberFormat="1" applyFont="1" applyFill="1" applyBorder="1"/>
    <xf numFmtId="166" fontId="11" fillId="2" borderId="1" xfId="1" applyNumberFormat="1" applyFont="1" applyFill="1" applyBorder="1"/>
    <xf numFmtId="166" fontId="11" fillId="2" borderId="0" xfId="1" applyNumberFormat="1" applyFont="1" applyFill="1" applyBorder="1" applyAlignment="1">
      <alignment horizontal="right"/>
    </xf>
    <xf numFmtId="166" fontId="8" fillId="2" borderId="0" xfId="1" applyNumberFormat="1" applyFont="1" applyFill="1" applyBorder="1" applyAlignment="1">
      <alignment horizontal="right"/>
    </xf>
    <xf numFmtId="3" fontId="6" fillId="0" borderId="9" xfId="1" applyNumberFormat="1" applyFont="1" applyBorder="1"/>
    <xf numFmtId="0" fontId="0" fillId="0" borderId="0" xfId="0" applyFont="1" applyFill="1"/>
    <xf numFmtId="0" fontId="20" fillId="3" borderId="6" xfId="0" applyFont="1" applyFill="1" applyBorder="1"/>
    <xf numFmtId="0" fontId="20" fillId="3" borderId="7" xfId="0" applyFont="1" applyFill="1" applyBorder="1"/>
    <xf numFmtId="0" fontId="20" fillId="3" borderId="8" xfId="0" applyFont="1" applyFill="1" applyBorder="1"/>
    <xf numFmtId="9" fontId="20" fillId="3" borderId="7" xfId="2" applyFont="1" applyFill="1" applyBorder="1" applyAlignment="1">
      <alignment wrapText="1"/>
    </xf>
    <xf numFmtId="0" fontId="20" fillId="3" borderId="3" xfId="0" applyFont="1" applyFill="1" applyBorder="1"/>
    <xf numFmtId="0" fontId="21" fillId="0" borderId="0" xfId="0" applyFont="1"/>
    <xf numFmtId="0" fontId="22" fillId="2" borderId="1" xfId="0" applyFont="1" applyFill="1" applyBorder="1"/>
    <xf numFmtId="0" fontId="22" fillId="2" borderId="0" xfId="0" applyFont="1" applyFill="1" applyBorder="1"/>
    <xf numFmtId="0" fontId="22" fillId="2" borderId="2" xfId="0" applyFont="1" applyFill="1" applyBorder="1"/>
    <xf numFmtId="164" fontId="24" fillId="2" borderId="0" xfId="1" applyNumberFormat="1" applyFont="1" applyFill="1" applyBorder="1"/>
    <xf numFmtId="9" fontId="25" fillId="2" borderId="0" xfId="2" applyFont="1" applyFill="1" applyBorder="1" applyAlignment="1">
      <alignment horizontal="right"/>
    </xf>
    <xf numFmtId="0" fontId="22" fillId="2" borderId="2" xfId="0" applyFont="1" applyFill="1" applyBorder="1" applyAlignment="1">
      <alignment wrapText="1"/>
    </xf>
    <xf numFmtId="0" fontId="22" fillId="0" borderId="0" xfId="0" applyFont="1"/>
    <xf numFmtId="0" fontId="22" fillId="2" borderId="0" xfId="0" applyFont="1" applyFill="1" applyBorder="1" applyAlignment="1">
      <alignment horizontal="left"/>
    </xf>
    <xf numFmtId="0" fontId="22" fillId="2" borderId="2" xfId="0" quotePrefix="1" applyFont="1" applyFill="1" applyBorder="1"/>
    <xf numFmtId="164" fontId="22" fillId="2" borderId="0" xfId="1" applyNumberFormat="1" applyFont="1" applyFill="1" applyBorder="1"/>
    <xf numFmtId="9" fontId="22" fillId="2" borderId="0" xfId="2" applyFont="1" applyFill="1" applyBorder="1" applyAlignment="1">
      <alignment horizontal="right"/>
    </xf>
    <xf numFmtId="0" fontId="22" fillId="2" borderId="2" xfId="0" applyFont="1" applyFill="1" applyBorder="1" applyAlignment="1"/>
    <xf numFmtId="0" fontId="26" fillId="0" borderId="0" xfId="0" applyFont="1"/>
    <xf numFmtId="164" fontId="25" fillId="2" borderId="0" xfId="1" applyNumberFormat="1" applyFont="1" applyFill="1" applyBorder="1"/>
    <xf numFmtId="0" fontId="25" fillId="2" borderId="0" xfId="0" applyFont="1" applyFill="1" applyBorder="1"/>
    <xf numFmtId="0" fontId="25" fillId="2" borderId="2" xfId="0" applyFont="1" applyFill="1" applyBorder="1" applyAlignment="1"/>
    <xf numFmtId="0" fontId="25" fillId="2" borderId="0" xfId="0" applyFont="1" applyFill="1" applyBorder="1" applyAlignment="1">
      <alignment horizontal="left"/>
    </xf>
    <xf numFmtId="9" fontId="27" fillId="2" borderId="0" xfId="2" applyFont="1" applyFill="1" applyBorder="1" applyAlignment="1">
      <alignment horizontal="right"/>
    </xf>
    <xf numFmtId="165" fontId="22" fillId="2" borderId="0" xfId="1" applyNumberFormat="1" applyFont="1" applyFill="1" applyBorder="1"/>
    <xf numFmtId="0" fontId="28" fillId="0" borderId="0" xfId="0" applyFont="1" applyBorder="1"/>
    <xf numFmtId="0" fontId="22" fillId="0" borderId="0" xfId="0" applyFont="1" applyBorder="1"/>
    <xf numFmtId="9" fontId="22" fillId="0" borderId="0" xfId="2" applyFont="1" applyBorder="1"/>
    <xf numFmtId="164" fontId="22" fillId="0" borderId="0" xfId="0" applyNumberFormat="1" applyFont="1"/>
    <xf numFmtId="0" fontId="21" fillId="0" borderId="12" xfId="0" applyFont="1" applyBorder="1"/>
    <xf numFmtId="0" fontId="22" fillId="0" borderId="12" xfId="0" applyFont="1" applyBorder="1"/>
    <xf numFmtId="49" fontId="22" fillId="0" borderId="12" xfId="0" applyNumberFormat="1" applyFont="1" applyBorder="1" applyAlignment="1">
      <alignment horizontal="left"/>
    </xf>
    <xf numFmtId="0" fontId="29" fillId="0" borderId="12" xfId="3" applyFont="1" applyBorder="1"/>
    <xf numFmtId="0" fontId="0" fillId="0" borderId="0" xfId="0" applyFill="1" applyBorder="1"/>
    <xf numFmtId="0" fontId="6" fillId="0" borderId="0" xfId="0" applyFont="1" applyFill="1"/>
    <xf numFmtId="0" fontId="0" fillId="0" borderId="0" xfId="0" applyFill="1"/>
    <xf numFmtId="166" fontId="22" fillId="2" borderId="0" xfId="1" applyNumberFormat="1" applyFont="1" applyFill="1" applyBorder="1"/>
    <xf numFmtId="166" fontId="10" fillId="2" borderId="0" xfId="2" applyNumberFormat="1" applyFont="1" applyFill="1" applyBorder="1" applyAlignment="1">
      <alignment horizontal="right"/>
    </xf>
    <xf numFmtId="165" fontId="1" fillId="2" borderId="5" xfId="1" applyNumberFormat="1" applyFont="1" applyFill="1" applyBorder="1"/>
    <xf numFmtId="165" fontId="1" fillId="2" borderId="3" xfId="1" applyNumberFormat="1" applyFont="1" applyFill="1" applyBorder="1"/>
    <xf numFmtId="166" fontId="1" fillId="2" borderId="3" xfId="2" applyNumberFormat="1" applyFont="1" applyFill="1" applyBorder="1" applyAlignment="1">
      <alignment horizontal="right"/>
    </xf>
    <xf numFmtId="166" fontId="1" fillId="2" borderId="5" xfId="1" applyNumberFormat="1" applyFont="1" applyFill="1" applyBorder="1"/>
    <xf numFmtId="166" fontId="1" fillId="2" borderId="3" xfId="1" applyNumberFormat="1" applyFont="1" applyFill="1" applyBorder="1"/>
    <xf numFmtId="43" fontId="1" fillId="2" borderId="5" xfId="1" applyNumberFormat="1" applyFont="1" applyFill="1" applyBorder="1"/>
    <xf numFmtId="43" fontId="1" fillId="2" borderId="3" xfId="1" applyNumberFormat="1" applyFont="1" applyFill="1" applyBorder="1"/>
    <xf numFmtId="4" fontId="1" fillId="2" borderId="3" xfId="2" applyNumberFormat="1" applyFont="1" applyFill="1" applyBorder="1" applyAlignment="1">
      <alignment horizontal="right"/>
    </xf>
    <xf numFmtId="0" fontId="22" fillId="2" borderId="5" xfId="0" applyFont="1" applyFill="1" applyBorder="1"/>
    <xf numFmtId="0" fontId="22" fillId="2" borderId="3" xfId="0" applyFont="1" applyFill="1" applyBorder="1" applyAlignment="1">
      <alignment horizontal="left"/>
    </xf>
    <xf numFmtId="0" fontId="22" fillId="2" borderId="4" xfId="0" applyFont="1" applyFill="1" applyBorder="1"/>
    <xf numFmtId="166" fontId="22" fillId="2" borderId="3" xfId="1" applyNumberFormat="1" applyFont="1" applyFill="1" applyBorder="1"/>
    <xf numFmtId="9" fontId="22" fillId="2" borderId="3" xfId="2" applyFont="1" applyFill="1" applyBorder="1" applyAlignment="1">
      <alignment horizontal="right"/>
    </xf>
    <xf numFmtId="0" fontId="22" fillId="2" borderId="3" xfId="0" applyFont="1" applyFill="1" applyBorder="1"/>
    <xf numFmtId="0" fontId="2" fillId="3" borderId="17" xfId="0" applyFont="1" applyFill="1" applyBorder="1"/>
    <xf numFmtId="0" fontId="0" fillId="2" borderId="18" xfId="0" applyFont="1" applyFill="1" applyBorder="1"/>
    <xf numFmtId="166" fontId="1" fillId="2" borderId="0" xfId="2" applyNumberFormat="1" applyFont="1" applyFill="1" applyBorder="1"/>
    <xf numFmtId="166" fontId="1" fillId="2" borderId="3" xfId="2" applyNumberFormat="1" applyFont="1" applyFill="1" applyBorder="1"/>
    <xf numFmtId="166" fontId="10" fillId="2" borderId="1" xfId="1" applyNumberFormat="1" applyFont="1" applyFill="1" applyBorder="1" applyAlignment="1">
      <alignment horizontal="right"/>
    </xf>
    <xf numFmtId="166" fontId="1" fillId="2" borderId="0" xfId="1" applyNumberFormat="1" applyFont="1" applyFill="1" applyBorder="1" applyAlignment="1">
      <alignment horizontal="right"/>
    </xf>
    <xf numFmtId="166" fontId="0" fillId="2" borderId="0" xfId="1" applyNumberFormat="1" applyFont="1" applyFill="1" applyBorder="1" applyAlignment="1">
      <alignment horizontal="right"/>
    </xf>
    <xf numFmtId="166" fontId="1" fillId="2" borderId="5" xfId="1" applyNumberFormat="1" applyFont="1" applyFill="1" applyBorder="1" applyAlignment="1">
      <alignment horizontal="right"/>
    </xf>
    <xf numFmtId="166" fontId="1" fillId="2" borderId="3" xfId="1" applyNumberFormat="1" applyFont="1" applyFill="1" applyBorder="1" applyAlignment="1">
      <alignment horizontal="right"/>
    </xf>
    <xf numFmtId="166" fontId="0" fillId="2" borderId="3" xfId="1" applyNumberFormat="1" applyFont="1" applyFill="1" applyBorder="1" applyAlignment="1">
      <alignment horizontal="right"/>
    </xf>
    <xf numFmtId="166" fontId="0" fillId="2" borderId="5" xfId="1" applyNumberFormat="1" applyFont="1" applyFill="1" applyBorder="1"/>
    <xf numFmtId="166" fontId="0" fillId="2" borderId="3" xfId="1" applyNumberFormat="1" applyFont="1" applyFill="1" applyBorder="1"/>
    <xf numFmtId="0" fontId="9" fillId="0" borderId="19" xfId="0" applyFont="1" applyBorder="1"/>
    <xf numFmtId="0" fontId="9" fillId="0" borderId="20" xfId="0" applyFont="1" applyBorder="1"/>
    <xf numFmtId="0" fontId="9" fillId="0" borderId="20" xfId="0" applyFont="1" applyBorder="1" applyAlignment="1">
      <alignment wrapText="1"/>
    </xf>
    <xf numFmtId="0" fontId="9" fillId="0" borderId="20" xfId="0" applyFont="1" applyBorder="1" applyAlignment="1">
      <alignment horizontal="right" wrapText="1"/>
    </xf>
    <xf numFmtId="0" fontId="4" fillId="0" borderId="20" xfId="0" applyFont="1" applyBorder="1"/>
    <xf numFmtId="0" fontId="4" fillId="0" borderId="21" xfId="0" applyFont="1" applyBorder="1"/>
    <xf numFmtId="0" fontId="4" fillId="0" borderId="22" xfId="0" applyFont="1" applyBorder="1"/>
    <xf numFmtId="0" fontId="0" fillId="0" borderId="23" xfId="0" applyBorder="1"/>
    <xf numFmtId="0" fontId="6" fillId="0" borderId="22" xfId="0" applyFont="1" applyBorder="1" applyAlignment="1">
      <alignment horizontal="left" indent="1"/>
    </xf>
    <xf numFmtId="164" fontId="0" fillId="0" borderId="23" xfId="1" applyNumberFormat="1" applyFont="1" applyBorder="1"/>
    <xf numFmtId="0" fontId="4" fillId="0" borderId="22" xfId="0" applyFont="1" applyBorder="1" applyAlignment="1">
      <alignment horizontal="left"/>
    </xf>
    <xf numFmtId="164" fontId="0" fillId="0" borderId="24" xfId="1" applyNumberFormat="1" applyFont="1" applyBorder="1"/>
    <xf numFmtId="0" fontId="6" fillId="4" borderId="22" xfId="0" applyFont="1" applyFill="1" applyBorder="1" applyAlignment="1">
      <alignment horizontal="left" indent="1"/>
    </xf>
    <xf numFmtId="0" fontId="4" fillId="0" borderId="25" xfId="0" applyFont="1" applyBorder="1" applyAlignment="1">
      <alignment horizontal="left"/>
    </xf>
    <xf numFmtId="9" fontId="17" fillId="0" borderId="27" xfId="2" applyFont="1" applyBorder="1"/>
    <xf numFmtId="3" fontId="17" fillId="0" borderId="26" xfId="2" applyNumberFormat="1" applyFont="1" applyBorder="1"/>
    <xf numFmtId="9" fontId="17" fillId="0" borderId="26" xfId="2" applyFont="1" applyBorder="1"/>
    <xf numFmtId="0" fontId="0" fillId="0" borderId="26" xfId="0" applyBorder="1"/>
    <xf numFmtId="0" fontId="0" fillId="0" borderId="28" xfId="0" applyBorder="1"/>
    <xf numFmtId="164" fontId="0" fillId="0" borderId="23" xfId="1" applyNumberFormat="1" applyFont="1" applyBorder="1" applyAlignment="1">
      <alignment horizontal="center"/>
    </xf>
    <xf numFmtId="164" fontId="0" fillId="0" borderId="23" xfId="1" applyNumberFormat="1" applyFont="1" applyBorder="1" applyAlignment="1"/>
    <xf numFmtId="0" fontId="6" fillId="0" borderId="25" xfId="0" applyFont="1" applyBorder="1" applyAlignment="1">
      <alignment horizontal="left" indent="1"/>
    </xf>
    <xf numFmtId="0" fontId="6" fillId="0" borderId="26" xfId="0" applyFont="1" applyBorder="1"/>
    <xf numFmtId="164" fontId="6" fillId="0" borderId="26" xfId="1" applyNumberFormat="1" applyFont="1" applyBorder="1"/>
    <xf numFmtId="164" fontId="11" fillId="0" borderId="26" xfId="1" applyNumberFormat="1" applyFont="1" applyBorder="1" applyAlignment="1">
      <alignment horizontal="right"/>
    </xf>
    <xf numFmtId="164" fontId="8" fillId="0" borderId="26" xfId="1" applyNumberFormat="1" applyFont="1" applyBorder="1" applyAlignment="1">
      <alignment horizontal="right"/>
    </xf>
    <xf numFmtId="9" fontId="8" fillId="0" borderId="26" xfId="2" applyFont="1" applyBorder="1" applyAlignment="1">
      <alignment horizontal="right"/>
    </xf>
    <xf numFmtId="3" fontId="8" fillId="0" borderId="26" xfId="2" applyNumberFormat="1" applyFont="1" applyBorder="1" applyAlignment="1">
      <alignment horizontal="right"/>
    </xf>
    <xf numFmtId="164" fontId="0" fillId="0" borderId="26" xfId="1" applyNumberFormat="1" applyFont="1" applyBorder="1"/>
    <xf numFmtId="164" fontId="0" fillId="0" borderId="28" xfId="1" applyNumberFormat="1" applyFont="1" applyBorder="1"/>
    <xf numFmtId="0" fontId="9" fillId="0" borderId="20" xfId="0" applyFont="1" applyBorder="1" applyAlignment="1">
      <alignment horizontal="left"/>
    </xf>
    <xf numFmtId="164" fontId="11" fillId="0" borderId="23" xfId="1" applyNumberFormat="1" applyFont="1" applyBorder="1"/>
    <xf numFmtId="164" fontId="4" fillId="0" borderId="23" xfId="1" applyNumberFormat="1" applyFont="1" applyBorder="1"/>
    <xf numFmtId="164" fontId="6" fillId="0" borderId="23" xfId="1" applyNumberFormat="1" applyFont="1" applyBorder="1"/>
    <xf numFmtId="0" fontId="0" fillId="2" borderId="1" xfId="0" applyFont="1" applyFill="1" applyBorder="1" applyAlignment="1">
      <alignment horizontal="left" indent="1"/>
    </xf>
    <xf numFmtId="164" fontId="6" fillId="0" borderId="24" xfId="1" applyNumberFormat="1" applyFont="1" applyBorder="1"/>
    <xf numFmtId="9" fontId="6" fillId="0" borderId="26" xfId="2" applyFont="1" applyBorder="1"/>
    <xf numFmtId="3" fontId="6" fillId="0" borderId="26" xfId="2" applyNumberFormat="1" applyFont="1" applyBorder="1"/>
    <xf numFmtId="164" fontId="6" fillId="0" borderId="29" xfId="1" applyNumberFormat="1" applyFont="1" applyBorder="1"/>
    <xf numFmtId="164" fontId="6" fillId="0" borderId="28" xfId="1" applyNumberFormat="1" applyFont="1" applyBorder="1"/>
    <xf numFmtId="0" fontId="6" fillId="0" borderId="22" xfId="0" applyFont="1" applyBorder="1" applyAlignment="1">
      <alignment horizontal="right" indent="1"/>
    </xf>
    <xf numFmtId="0" fontId="6" fillId="0" borderId="22" xfId="0" applyFont="1" applyFill="1" applyBorder="1" applyAlignment="1">
      <alignment horizontal="left" indent="1"/>
    </xf>
    <xf numFmtId="0" fontId="4" fillId="0" borderId="26" xfId="0" applyFont="1" applyBorder="1"/>
    <xf numFmtId="9" fontId="17" fillId="0" borderId="26" xfId="2" applyFont="1" applyBorder="1" applyAlignment="1">
      <alignment horizontal="right"/>
    </xf>
    <xf numFmtId="0" fontId="9" fillId="0" borderId="21" xfId="0" applyFont="1" applyBorder="1"/>
    <xf numFmtId="0" fontId="6" fillId="0" borderId="22" xfId="0" applyFont="1" applyBorder="1"/>
    <xf numFmtId="0" fontId="6" fillId="0" borderId="23" xfId="0" applyFont="1" applyBorder="1"/>
    <xf numFmtId="0" fontId="0" fillId="0" borderId="22" xfId="0" applyBorder="1"/>
    <xf numFmtId="0" fontId="0" fillId="0" borderId="25" xfId="0" applyBorder="1"/>
    <xf numFmtId="0" fontId="4" fillId="0" borderId="14" xfId="0" applyFont="1" applyBorder="1"/>
    <xf numFmtId="0" fontId="0" fillId="0" borderId="14" xfId="0" applyBorder="1"/>
    <xf numFmtId="0" fontId="6" fillId="0" borderId="14" xfId="0" applyFont="1" applyBorder="1"/>
    <xf numFmtId="0" fontId="4" fillId="0" borderId="22" xfId="0" applyFont="1" applyFill="1" applyBorder="1" applyAlignment="1">
      <alignment horizontal="left"/>
    </xf>
    <xf numFmtId="164" fontId="4" fillId="0" borderId="23" xfId="1" applyNumberFormat="1" applyFont="1" applyBorder="1" applyAlignment="1">
      <alignment horizontal="left" indent="3"/>
    </xf>
    <xf numFmtId="0" fontId="6" fillId="0" borderId="22" xfId="0" applyFont="1" applyFill="1" applyBorder="1" applyAlignment="1">
      <alignment horizontal="left" indent="3"/>
    </xf>
    <xf numFmtId="0" fontId="4" fillId="0" borderId="22" xfId="0" applyFont="1" applyFill="1" applyBorder="1" applyAlignment="1">
      <alignment horizontal="left" indent="1"/>
    </xf>
    <xf numFmtId="166" fontId="6" fillId="0" borderId="9" xfId="1" applyNumberFormat="1" applyFont="1" applyBorder="1"/>
    <xf numFmtId="166" fontId="6" fillId="0" borderId="26" xfId="1" applyNumberFormat="1" applyFont="1" applyBorder="1"/>
    <xf numFmtId="166" fontId="0" fillId="2" borderId="3" xfId="2" applyNumberFormat="1" applyFont="1" applyFill="1" applyBorder="1" applyAlignment="1">
      <alignment horizontal="right"/>
    </xf>
    <xf numFmtId="166" fontId="4" fillId="0" borderId="9" xfId="0" applyNumberFormat="1" applyFont="1" applyBorder="1"/>
    <xf numFmtId="166" fontId="17" fillId="0" borderId="9" xfId="0" applyNumberFormat="1" applyFont="1" applyBorder="1"/>
    <xf numFmtId="166" fontId="11" fillId="0" borderId="9" xfId="1" applyNumberFormat="1" applyFont="1" applyBorder="1"/>
    <xf numFmtId="166" fontId="4" fillId="0" borderId="9" xfId="1" applyNumberFormat="1" applyFont="1" applyBorder="1"/>
    <xf numFmtId="166" fontId="17" fillId="0" borderId="9" xfId="1" applyNumberFormat="1" applyFont="1" applyBorder="1"/>
    <xf numFmtId="166" fontId="4" fillId="0" borderId="26" xfId="1" applyNumberFormat="1" applyFont="1" applyBorder="1"/>
    <xf numFmtId="166" fontId="17" fillId="0" borderId="26" xfId="1" applyNumberFormat="1" applyFont="1" applyBorder="1"/>
    <xf numFmtId="166" fontId="17" fillId="0" borderId="9" xfId="2" applyNumberFormat="1" applyFont="1" applyBorder="1" applyAlignment="1">
      <alignment horizontal="right"/>
    </xf>
    <xf numFmtId="166" fontId="11" fillId="0" borderId="9" xfId="2" applyNumberFormat="1" applyFont="1" applyBorder="1" applyAlignment="1">
      <alignment horizontal="right"/>
    </xf>
    <xf numFmtId="166" fontId="17" fillId="0" borderId="26" xfId="2" applyNumberFormat="1" applyFont="1" applyBorder="1" applyAlignment="1">
      <alignment horizontal="right"/>
    </xf>
    <xf numFmtId="0" fontId="5" fillId="5" borderId="0" xfId="0" applyFont="1" applyFill="1" applyAlignment="1">
      <alignment horizontal="right"/>
    </xf>
    <xf numFmtId="0" fontId="5" fillId="5" borderId="0" xfId="0" applyFont="1" applyFill="1"/>
    <xf numFmtId="166" fontId="17" fillId="0" borderId="23" xfId="0" applyNumberFormat="1" applyFont="1" applyBorder="1"/>
    <xf numFmtId="166" fontId="11" fillId="0" borderId="23" xfId="1" applyNumberFormat="1" applyFont="1" applyBorder="1"/>
    <xf numFmtId="166" fontId="17" fillId="0" borderId="23" xfId="1" applyNumberFormat="1" applyFont="1" applyBorder="1"/>
    <xf numFmtId="166" fontId="17" fillId="0" borderId="28" xfId="1" applyNumberFormat="1" applyFont="1" applyBorder="1"/>
    <xf numFmtId="166" fontId="10" fillId="2" borderId="1" xfId="1" applyNumberFormat="1" applyFont="1" applyFill="1" applyBorder="1"/>
    <xf numFmtId="166" fontId="10" fillId="2" borderId="0" xfId="1" applyNumberFormat="1" applyFont="1" applyFill="1" applyBorder="1"/>
    <xf numFmtId="166" fontId="10" fillId="2" borderId="5" xfId="1" applyNumberFormat="1" applyFont="1" applyFill="1" applyBorder="1"/>
    <xf numFmtId="166" fontId="10" fillId="2" borderId="3" xfId="1" applyNumberFormat="1" applyFont="1" applyFill="1" applyBorder="1"/>
    <xf numFmtId="0" fontId="22"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left" vertical="center"/>
    </xf>
    <xf numFmtId="164" fontId="17" fillId="0" borderId="16" xfId="1" applyNumberFormat="1" applyFont="1" applyBorder="1"/>
  </cellXfs>
  <cellStyles count="4">
    <cellStyle name="Comma" xfId="1" builtinId="3"/>
    <cellStyle name="Hyperlink" xfId="3" builtinId="8"/>
    <cellStyle name="Normal" xfId="0" builtinId="0"/>
    <cellStyle name="Percent" xfId="2" builtinId="5"/>
  </cellStyles>
  <dxfs count="7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2" tint="-0.249977111117893"/>
  </sheetPr>
  <dimension ref="A1:B34"/>
  <sheetViews>
    <sheetView tabSelected="1" workbookViewId="0">
      <selection activeCell="A2" sqref="A2"/>
    </sheetView>
  </sheetViews>
  <sheetFormatPr defaultColWidth="9.140625" defaultRowHeight="12.75" x14ac:dyDescent="0.2"/>
  <cols>
    <col min="1" max="1" width="19" style="210" customWidth="1"/>
    <col min="2" max="2" width="73.28515625" style="210" bestFit="1" customWidth="1"/>
    <col min="3" max="16384" width="9.140625" style="210"/>
  </cols>
  <sheetData>
    <row r="1" spans="1:2" x14ac:dyDescent="0.2">
      <c r="A1" s="209" t="s">
        <v>383</v>
      </c>
      <c r="B1" s="209" t="s">
        <v>462</v>
      </c>
    </row>
    <row r="3" spans="1:2" x14ac:dyDescent="0.2">
      <c r="A3" s="210" t="s">
        <v>384</v>
      </c>
      <c r="B3" s="210" t="s">
        <v>385</v>
      </c>
    </row>
    <row r="4" spans="1:2" x14ac:dyDescent="0.2">
      <c r="A4" s="210" t="s">
        <v>396</v>
      </c>
      <c r="B4" s="210" t="s">
        <v>463</v>
      </c>
    </row>
    <row r="5" spans="1:2" x14ac:dyDescent="0.2">
      <c r="A5" s="210" t="s">
        <v>508</v>
      </c>
      <c r="B5" s="211" t="s">
        <v>502</v>
      </c>
    </row>
    <row r="7" spans="1:2" x14ac:dyDescent="0.2">
      <c r="A7" s="210" t="s">
        <v>395</v>
      </c>
      <c r="B7" s="212" t="s">
        <v>65</v>
      </c>
    </row>
    <row r="8" spans="1:2" x14ac:dyDescent="0.2">
      <c r="B8" s="212" t="s">
        <v>66</v>
      </c>
    </row>
    <row r="9" spans="1:2" x14ac:dyDescent="0.2">
      <c r="B9" s="212" t="s">
        <v>67</v>
      </c>
    </row>
    <row r="10" spans="1:2" x14ac:dyDescent="0.2">
      <c r="B10" s="212" t="s">
        <v>68</v>
      </c>
    </row>
    <row r="11" spans="1:2" x14ac:dyDescent="0.2">
      <c r="B11" s="212" t="s">
        <v>70</v>
      </c>
    </row>
    <row r="12" spans="1:2" x14ac:dyDescent="0.2">
      <c r="B12" s="212" t="s">
        <v>69</v>
      </c>
    </row>
    <row r="13" spans="1:2" x14ac:dyDescent="0.2">
      <c r="B13" s="212" t="s">
        <v>118</v>
      </c>
    </row>
    <row r="14" spans="1:2" x14ac:dyDescent="0.2">
      <c r="B14" s="212" t="s">
        <v>71</v>
      </c>
    </row>
    <row r="15" spans="1:2" x14ac:dyDescent="0.2">
      <c r="B15" s="212" t="s">
        <v>119</v>
      </c>
    </row>
    <row r="16" spans="1:2" x14ac:dyDescent="0.2">
      <c r="B16" s="212" t="s">
        <v>386</v>
      </c>
    </row>
    <row r="17" spans="2:2" x14ac:dyDescent="0.2">
      <c r="B17" s="212" t="s">
        <v>387</v>
      </c>
    </row>
    <row r="18" spans="2:2" ht="15" x14ac:dyDescent="0.25">
      <c r="B18" s="125" t="s">
        <v>509</v>
      </c>
    </row>
    <row r="19" spans="2:2" ht="15" x14ac:dyDescent="0.25">
      <c r="B19" s="125" t="s">
        <v>510</v>
      </c>
    </row>
    <row r="20" spans="2:2" x14ac:dyDescent="0.2">
      <c r="B20" s="212" t="s">
        <v>125</v>
      </c>
    </row>
    <row r="21" spans="2:2" x14ac:dyDescent="0.2">
      <c r="B21" s="212" t="s">
        <v>74</v>
      </c>
    </row>
    <row r="22" spans="2:2" x14ac:dyDescent="0.2">
      <c r="B22" s="212" t="s">
        <v>76</v>
      </c>
    </row>
    <row r="23" spans="2:2" x14ac:dyDescent="0.2">
      <c r="B23" s="212" t="s">
        <v>78</v>
      </c>
    </row>
    <row r="24" spans="2:2" x14ac:dyDescent="0.2">
      <c r="B24" s="212" t="s">
        <v>77</v>
      </c>
    </row>
    <row r="25" spans="2:2" x14ac:dyDescent="0.2">
      <c r="B25" s="212" t="s">
        <v>126</v>
      </c>
    </row>
    <row r="26" spans="2:2" x14ac:dyDescent="0.2">
      <c r="B26" s="212" t="s">
        <v>129</v>
      </c>
    </row>
    <row r="27" spans="2:2" ht="15" x14ac:dyDescent="0.25">
      <c r="B27" s="125" t="s">
        <v>388</v>
      </c>
    </row>
    <row r="28" spans="2:2" ht="15" x14ac:dyDescent="0.25">
      <c r="B28" s="125" t="s">
        <v>389</v>
      </c>
    </row>
    <row r="29" spans="2:2" ht="15" x14ac:dyDescent="0.25">
      <c r="B29" s="125" t="s">
        <v>390</v>
      </c>
    </row>
    <row r="30" spans="2:2" ht="15" x14ac:dyDescent="0.25">
      <c r="B30" s="125" t="s">
        <v>391</v>
      </c>
    </row>
    <row r="31" spans="2:2" ht="15" x14ac:dyDescent="0.25">
      <c r="B31" s="125" t="s">
        <v>392</v>
      </c>
    </row>
    <row r="32" spans="2:2" ht="15" x14ac:dyDescent="0.25">
      <c r="B32" s="125" t="s">
        <v>393</v>
      </c>
    </row>
    <row r="33" spans="2:2" ht="15" x14ac:dyDescent="0.25">
      <c r="B33" s="125" t="s">
        <v>394</v>
      </c>
    </row>
    <row r="34" spans="2:2" ht="15" x14ac:dyDescent="0.25">
      <c r="B34" s="125" t="s">
        <v>397</v>
      </c>
    </row>
  </sheetData>
  <hyperlinks>
    <hyperlink ref="B7" location="Wheat!A1" display="Wheat"/>
    <hyperlink ref="B8" location="Barley!A1" display="Barley"/>
    <hyperlink ref="B9" location="Rice!A1" display="Rice"/>
    <hyperlink ref="B10" location="Sorghum!A1" display="Sorghum"/>
    <hyperlink ref="B11" location="Pulses!A1" display="Pulses"/>
    <hyperlink ref="B12" location="Oilseeds!A1" display="Oilseeds"/>
    <hyperlink ref="B13" location="'Cotton Lint'!A1" display="Cotton Lint"/>
    <hyperlink ref="B14" location="'Sugar Cane'!A1" display="Sugar Cane"/>
    <hyperlink ref="B15" location="Horticulture!A1" display="Horticulture"/>
    <hyperlink ref="B16" location="Wine!A1" display="Wine"/>
    <hyperlink ref="B17" location="Beef!A1" display="Beef"/>
    <hyperlink ref="B18" location="'Sheep Meat'!A1" display="Sheep Meat"/>
    <hyperlink ref="B20" location="Pork!A1" display="Pork"/>
    <hyperlink ref="B21" location="Poultry!A1" display="Poultry"/>
    <hyperlink ref="B22" location="Wool!A1" display="Wool"/>
    <hyperlink ref="B23" location="Eggs!A1" display="Eggs"/>
    <hyperlink ref="B24" location="Milk!A1" display="Milk"/>
    <hyperlink ref="B25" location="Forestry!A1" display="Forestry"/>
    <hyperlink ref="B26" location="Fisheries!A1" display="Fisheries"/>
    <hyperlink ref="B27" location="'Other Crops'!A1" display="Other Crops"/>
    <hyperlink ref="B28" location="'Output Table'!A1" display="GVP Data Consolidated"/>
    <hyperlink ref="B29" location="'Production Table'!A1" display="Production Data Consolidated"/>
    <hyperlink ref="B30" location="'Prices Table'!A1" display="Price Data Consolidated"/>
    <hyperlink ref="B31" location="'Exports Table'!A1" display="Exports Data Consolidated"/>
    <hyperlink ref="B32" location="'Imports Trade Bal. Tables'!A1" display="Imports &amp; Trade Balance Data Consolidated"/>
    <hyperlink ref="B33" location="'Jobs &amp; Businesses'!A1" display="Jobs &amp; Businesses Consolidated"/>
    <hyperlink ref="B34" location="EndNotes!A1" display="Consolidated Footnotes"/>
    <hyperlink ref="B19" location="'Goat Meat'!A1" display="Goat Meat"/>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O25"/>
  <sheetViews>
    <sheetView workbookViewId="0"/>
  </sheetViews>
  <sheetFormatPr defaultRowHeight="15" x14ac:dyDescent="0.25"/>
  <cols>
    <col min="1" max="1" width="33.85546875" style="12" bestFit="1" customWidth="1"/>
    <col min="2" max="2" width="11.28515625" style="12" bestFit="1" customWidth="1"/>
    <col min="3" max="3" width="12.140625" style="12" customWidth="1"/>
    <col min="4" max="5" width="10.5703125" style="12" bestFit="1" customWidth="1"/>
    <col min="6" max="6" width="10.5703125" style="11" bestFit="1" customWidth="1"/>
    <col min="7" max="7" width="13.140625" style="11" bestFit="1" customWidth="1"/>
    <col min="8" max="8" width="10.7109375" style="11" customWidth="1"/>
    <col min="9" max="10" width="19.85546875" style="11" customWidth="1"/>
    <col min="11" max="11" width="16.85546875" style="13" bestFit="1" customWidth="1"/>
    <col min="12" max="12" width="25.5703125" style="12" bestFit="1" customWidth="1"/>
    <col min="13" max="13" width="197.7109375" style="12" bestFit="1" customWidth="1"/>
    <col min="14" max="14" width="34.7109375" style="12" customWidth="1"/>
    <col min="15" max="15" width="9.140625" style="12"/>
  </cols>
  <sheetData>
    <row r="1" spans="1:15" s="1" customFormat="1" ht="30" x14ac:dyDescent="0.25">
      <c r="A1" s="33" t="s">
        <v>0</v>
      </c>
      <c r="B1" s="34" t="s">
        <v>9</v>
      </c>
      <c r="C1" s="35" t="s">
        <v>1</v>
      </c>
      <c r="D1" s="34" t="str">
        <f>+'Output Table'!C1</f>
        <v>2014-15</v>
      </c>
      <c r="E1" s="34" t="str">
        <f>+'Output Table'!D1</f>
        <v>2015-16</v>
      </c>
      <c r="F1" s="34" t="str">
        <f>+'Output Table'!E1</f>
        <v>2016-17</v>
      </c>
      <c r="G1" s="34" t="str">
        <f>+'Output Table'!F1</f>
        <v>2017-18</v>
      </c>
      <c r="H1" s="34" t="str">
        <f>+'Output Table'!G1</f>
        <v>2018-19e</v>
      </c>
      <c r="I1" s="39" t="s">
        <v>136</v>
      </c>
      <c r="J1" s="39" t="s">
        <v>428</v>
      </c>
      <c r="K1" s="41" t="s">
        <v>422</v>
      </c>
      <c r="L1" s="34" t="s">
        <v>15</v>
      </c>
      <c r="M1" s="35" t="s">
        <v>16</v>
      </c>
      <c r="N1" s="10" t="s">
        <v>17</v>
      </c>
      <c r="O1" s="11"/>
    </row>
    <row r="2" spans="1:15" s="2" customFormat="1" ht="17.25" customHeight="1" x14ac:dyDescent="0.25">
      <c r="A2" s="36" t="s">
        <v>83</v>
      </c>
      <c r="B2" s="14"/>
      <c r="C2" s="16" t="s">
        <v>11</v>
      </c>
      <c r="D2" s="29">
        <f t="shared" ref="D2:G2" si="0">SUM(D3:D5)</f>
        <v>1203.6868113</v>
      </c>
      <c r="E2" s="17">
        <f t="shared" si="0"/>
        <v>1398.3831276599999</v>
      </c>
      <c r="F2" s="17">
        <f t="shared" si="0"/>
        <v>1766.2408214799998</v>
      </c>
      <c r="G2" s="17">
        <f t="shared" si="0"/>
        <v>1706.97763953</v>
      </c>
      <c r="H2" s="60">
        <f>SUM(H3:H5)</f>
        <v>1728.7103389027634</v>
      </c>
      <c r="I2" s="88">
        <f t="shared" ref="I2:I19" si="1">IF(ISBLANK(H2),"N/A",IF(ISNA(H2/G2-1),"N/A",IF(ISERROR(H2/G2-1),"N/A",H2/G2-1)))</f>
        <v>1.2731683690213602E-2</v>
      </c>
      <c r="J2" s="151">
        <f>IF(ISBLANK(H2),"",IF(ISNA(AVERAGE(D2:H2)),"N/A",IF(ISERROR(AVERAGE(D2:H2)),"N/A",AVERAGE(D2:H2))))</f>
        <v>1560.7997477745525</v>
      </c>
      <c r="K2" s="87">
        <f t="shared" ref="K2:K19" si="2">IF(ISBLANK(H2),"",IF(ISNA(H2/AVERAGE(D2:H2)-1),"N/A",IF(ISERROR(H2/AVERAGE(D2:H2)-1),"N/A",H2/AVERAGE(D2:H2)-1)))</f>
        <v>0.10757984255675601</v>
      </c>
      <c r="L2" s="14" t="s">
        <v>485</v>
      </c>
      <c r="M2" s="169" t="s">
        <v>484</v>
      </c>
      <c r="N2" s="49" t="s">
        <v>19</v>
      </c>
      <c r="O2" s="49"/>
    </row>
    <row r="3" spans="1:15" s="2" customFormat="1" ht="17.25" customHeight="1" x14ac:dyDescent="0.25">
      <c r="A3" s="36" t="s">
        <v>82</v>
      </c>
      <c r="B3" s="14"/>
      <c r="C3" s="16" t="s">
        <v>11</v>
      </c>
      <c r="D3" s="29">
        <v>532.68769954000004</v>
      </c>
      <c r="E3" s="60">
        <v>678.40727508999998</v>
      </c>
      <c r="F3" s="60">
        <v>809.08487828</v>
      </c>
      <c r="G3" s="60">
        <v>737.71278081000003</v>
      </c>
      <c r="H3" s="60">
        <v>751.24194680793414</v>
      </c>
      <c r="I3" s="113">
        <f t="shared" si="1"/>
        <v>1.833934066192966E-2</v>
      </c>
      <c r="J3" s="153">
        <f t="shared" ref="J3:J19" si="3">IF(ISBLANK(H3),"",IF(ISNA(AVERAGE(D3:H3)),"N/A",IF(ISERROR(AVERAGE(D3:H3)),"N/A",AVERAGE(D3:H3))))</f>
        <v>701.82691610558686</v>
      </c>
      <c r="K3" s="87">
        <f t="shared" si="2"/>
        <v>7.040914158230005E-2</v>
      </c>
      <c r="L3" s="14" t="s">
        <v>485</v>
      </c>
      <c r="M3" s="169" t="s">
        <v>484</v>
      </c>
      <c r="N3" s="49" t="s">
        <v>511</v>
      </c>
      <c r="O3" s="49"/>
    </row>
    <row r="4" spans="1:15" s="2" customFormat="1" ht="17.25" customHeight="1" x14ac:dyDescent="0.25">
      <c r="A4" s="36" t="s">
        <v>62</v>
      </c>
      <c r="B4" s="14"/>
      <c r="C4" s="16" t="s">
        <v>11</v>
      </c>
      <c r="D4" s="29">
        <v>408.19657388000002</v>
      </c>
      <c r="E4" s="60">
        <v>419.91898237999999</v>
      </c>
      <c r="F4" s="60">
        <v>507.39925529999999</v>
      </c>
      <c r="G4" s="60">
        <v>497.59218783</v>
      </c>
      <c r="H4" s="60">
        <v>505.79572120482925</v>
      </c>
      <c r="I4" s="113">
        <f t="shared" si="1"/>
        <v>1.6486459344558613E-2</v>
      </c>
      <c r="J4" s="153">
        <f t="shared" si="3"/>
        <v>467.78054411896585</v>
      </c>
      <c r="K4" s="87">
        <f t="shared" si="2"/>
        <v>8.1267118874006394E-2</v>
      </c>
      <c r="L4" s="14" t="s">
        <v>485</v>
      </c>
      <c r="M4" s="169" t="s">
        <v>484</v>
      </c>
      <c r="N4" s="49" t="s">
        <v>511</v>
      </c>
      <c r="O4" s="49"/>
    </row>
    <row r="5" spans="1:15" s="2" customFormat="1" ht="16.5" customHeight="1" x14ac:dyDescent="0.25">
      <c r="A5" s="36" t="s">
        <v>63</v>
      </c>
      <c r="B5" s="14"/>
      <c r="C5" s="16" t="s">
        <v>11</v>
      </c>
      <c r="D5" s="29">
        <v>262.80253787999999</v>
      </c>
      <c r="E5" s="60">
        <v>300.05687018999998</v>
      </c>
      <c r="F5" s="60">
        <v>449.75668789999997</v>
      </c>
      <c r="G5" s="60">
        <v>471.67267089000001</v>
      </c>
      <c r="H5" s="60">
        <v>471.67267089000001</v>
      </c>
      <c r="I5" s="113">
        <f t="shared" si="1"/>
        <v>0</v>
      </c>
      <c r="J5" s="153">
        <f t="shared" si="3"/>
        <v>391.19228755</v>
      </c>
      <c r="K5" s="87">
        <f t="shared" si="2"/>
        <v>0.20573100723442428</v>
      </c>
      <c r="L5" s="14" t="s">
        <v>485</v>
      </c>
      <c r="M5" s="169" t="s">
        <v>484</v>
      </c>
      <c r="N5" s="49" t="s">
        <v>511</v>
      </c>
      <c r="O5" s="49"/>
    </row>
    <row r="6" spans="1:15" s="2" customFormat="1" x14ac:dyDescent="0.25">
      <c r="A6" s="36" t="s">
        <v>161</v>
      </c>
      <c r="B6" s="14"/>
      <c r="C6" s="15" t="s">
        <v>12</v>
      </c>
      <c r="D6" s="17">
        <v>174.17079964999999</v>
      </c>
      <c r="E6" s="17">
        <v>202.14520032999999</v>
      </c>
      <c r="F6" s="17">
        <v>191.11563828000001</v>
      </c>
      <c r="G6" s="17">
        <v>148.01364122999999</v>
      </c>
      <c r="H6" s="69" t="s">
        <v>93</v>
      </c>
      <c r="I6" s="71" t="str">
        <f t="shared" si="1"/>
        <v>N/A</v>
      </c>
      <c r="J6" s="142">
        <f t="shared" si="3"/>
        <v>178.86131987249999</v>
      </c>
      <c r="K6" s="71" t="str">
        <f t="shared" si="2"/>
        <v>N/A</v>
      </c>
      <c r="L6" s="14" t="s">
        <v>479</v>
      </c>
      <c r="M6" s="37" t="s">
        <v>480</v>
      </c>
      <c r="N6" s="49"/>
      <c r="O6" s="49"/>
    </row>
    <row r="7" spans="1:15" s="2" customFormat="1" x14ac:dyDescent="0.25">
      <c r="A7" s="36" t="s">
        <v>162</v>
      </c>
      <c r="B7" s="14"/>
      <c r="C7" s="15" t="s">
        <v>12</v>
      </c>
      <c r="D7" s="17">
        <v>21.59771259</v>
      </c>
      <c r="E7" s="17">
        <v>19.861245459999996</v>
      </c>
      <c r="F7" s="17">
        <v>27.947807519999998</v>
      </c>
      <c r="G7" s="17">
        <v>21.909960010000002</v>
      </c>
      <c r="H7" s="69" t="s">
        <v>93</v>
      </c>
      <c r="I7" s="71" t="str">
        <f t="shared" si="1"/>
        <v>N/A</v>
      </c>
      <c r="J7" s="142">
        <f t="shared" si="3"/>
        <v>22.829181394999999</v>
      </c>
      <c r="K7" s="71" t="str">
        <f t="shared" si="2"/>
        <v>N/A</v>
      </c>
      <c r="L7" s="14" t="s">
        <v>479</v>
      </c>
      <c r="M7" s="37" t="s">
        <v>480</v>
      </c>
      <c r="N7" s="49"/>
      <c r="O7" s="49"/>
    </row>
    <row r="8" spans="1:15" s="2" customFormat="1" x14ac:dyDescent="0.25">
      <c r="A8" s="36" t="s">
        <v>163</v>
      </c>
      <c r="B8" s="14"/>
      <c r="C8" s="15" t="s">
        <v>12</v>
      </c>
      <c r="D8" s="17">
        <v>75.837109999999996</v>
      </c>
      <c r="E8" s="17">
        <v>63.245460000000001</v>
      </c>
      <c r="F8" s="17">
        <v>91.895699999999991</v>
      </c>
      <c r="G8" s="17">
        <v>55.304160000000003</v>
      </c>
      <c r="H8" s="69" t="s">
        <v>93</v>
      </c>
      <c r="I8" s="71" t="str">
        <f t="shared" si="1"/>
        <v>N/A</v>
      </c>
      <c r="J8" s="142">
        <f t="shared" si="3"/>
        <v>71.570607500000008</v>
      </c>
      <c r="K8" s="71" t="str">
        <f t="shared" si="2"/>
        <v>N/A</v>
      </c>
      <c r="L8" s="14" t="s">
        <v>479</v>
      </c>
      <c r="M8" s="37" t="s">
        <v>480</v>
      </c>
      <c r="N8" s="49"/>
      <c r="O8" s="49"/>
    </row>
    <row r="9" spans="1:15" s="2" customFormat="1" x14ac:dyDescent="0.25">
      <c r="A9" s="36" t="s">
        <v>164</v>
      </c>
      <c r="B9" s="14"/>
      <c r="C9" s="15" t="s">
        <v>12</v>
      </c>
      <c r="D9" s="17">
        <v>9.9707376199999995</v>
      </c>
      <c r="E9" s="17">
        <v>12.335123230000001</v>
      </c>
      <c r="F9" s="17">
        <v>14.69269749</v>
      </c>
      <c r="G9" s="17">
        <v>12.287193240000001</v>
      </c>
      <c r="H9" s="69" t="s">
        <v>93</v>
      </c>
      <c r="I9" s="71" t="str">
        <f t="shared" si="1"/>
        <v>N/A</v>
      </c>
      <c r="J9" s="142">
        <f t="shared" si="3"/>
        <v>12.321437895000001</v>
      </c>
      <c r="K9" s="71" t="str">
        <f t="shared" si="2"/>
        <v>N/A</v>
      </c>
      <c r="L9" s="14" t="s">
        <v>479</v>
      </c>
      <c r="M9" s="37" t="s">
        <v>480</v>
      </c>
      <c r="N9" s="49"/>
      <c r="O9" s="49"/>
    </row>
    <row r="10" spans="1:15" s="2" customFormat="1" x14ac:dyDescent="0.25">
      <c r="A10" s="36" t="s">
        <v>166</v>
      </c>
      <c r="B10" s="14"/>
      <c r="C10" s="15" t="s">
        <v>12</v>
      </c>
      <c r="D10" s="17">
        <v>110.85496000000001</v>
      </c>
      <c r="E10" s="17">
        <v>137.24749</v>
      </c>
      <c r="F10" s="17">
        <v>107.69782000000001</v>
      </c>
      <c r="G10" s="17">
        <v>109.30112</v>
      </c>
      <c r="H10" s="69" t="s">
        <v>93</v>
      </c>
      <c r="I10" s="71" t="str">
        <f t="shared" si="1"/>
        <v>N/A</v>
      </c>
      <c r="J10" s="142">
        <f t="shared" si="3"/>
        <v>116.27534750000001</v>
      </c>
      <c r="K10" s="71" t="str">
        <f t="shared" si="2"/>
        <v>N/A</v>
      </c>
      <c r="L10" s="14" t="s">
        <v>479</v>
      </c>
      <c r="M10" s="37" t="s">
        <v>480</v>
      </c>
      <c r="N10" s="49"/>
      <c r="O10" s="49"/>
    </row>
    <row r="11" spans="1:15" s="2" customFormat="1" x14ac:dyDescent="0.25">
      <c r="A11" s="36" t="s">
        <v>165</v>
      </c>
      <c r="B11" s="14"/>
      <c r="C11" s="15" t="s">
        <v>466</v>
      </c>
      <c r="D11" s="86">
        <v>3.4644400000000002</v>
      </c>
      <c r="E11" s="86">
        <v>3.8005599999999999</v>
      </c>
      <c r="F11" s="86">
        <v>3.9565700000000001</v>
      </c>
      <c r="G11" s="86">
        <v>4.9487700000000006</v>
      </c>
      <c r="H11" s="69" t="s">
        <v>93</v>
      </c>
      <c r="I11" s="71" t="str">
        <f t="shared" si="1"/>
        <v>N/A</v>
      </c>
      <c r="J11" s="142">
        <f t="shared" si="3"/>
        <v>4.0425849999999999</v>
      </c>
      <c r="K11" s="71" t="str">
        <f t="shared" si="2"/>
        <v>N/A</v>
      </c>
      <c r="L11" s="14" t="s">
        <v>479</v>
      </c>
      <c r="M11" s="37" t="s">
        <v>480</v>
      </c>
      <c r="N11" s="49"/>
      <c r="O11" s="49"/>
    </row>
    <row r="12" spans="1:15" s="2" customFormat="1" ht="15.75" customHeight="1" x14ac:dyDescent="0.25">
      <c r="A12" s="36" t="s">
        <v>584</v>
      </c>
      <c r="B12" s="14"/>
      <c r="C12" s="16" t="s">
        <v>84</v>
      </c>
      <c r="D12" s="21">
        <v>95.174999999999997</v>
      </c>
      <c r="E12" s="20">
        <v>91.375</v>
      </c>
      <c r="F12" s="20">
        <v>99.375</v>
      </c>
      <c r="G12" s="20">
        <v>99.474999999999994</v>
      </c>
      <c r="H12" s="20">
        <v>103.125</v>
      </c>
      <c r="I12" s="87">
        <f t="shared" si="1"/>
        <v>3.669263634078912E-2</v>
      </c>
      <c r="J12" s="140">
        <f t="shared" si="3"/>
        <v>97.704999999999998</v>
      </c>
      <c r="K12" s="87">
        <f t="shared" si="2"/>
        <v>5.5473107824574042E-2</v>
      </c>
      <c r="L12" s="14" t="s">
        <v>477</v>
      </c>
      <c r="M12" s="37" t="s">
        <v>478</v>
      </c>
      <c r="N12" s="23"/>
      <c r="O12" s="49"/>
    </row>
    <row r="13" spans="1:15" s="2" customFormat="1" ht="15.75" customHeight="1" x14ac:dyDescent="0.25">
      <c r="A13" s="36" t="s">
        <v>585</v>
      </c>
      <c r="B13" s="14"/>
      <c r="C13" s="16" t="s">
        <v>84</v>
      </c>
      <c r="D13" s="21">
        <v>115.45</v>
      </c>
      <c r="E13" s="20">
        <v>111.47499999999999</v>
      </c>
      <c r="F13" s="20">
        <v>128.02500000000001</v>
      </c>
      <c r="G13" s="20">
        <v>116.875</v>
      </c>
      <c r="H13" s="20">
        <v>121.72500000000001</v>
      </c>
      <c r="I13" s="87">
        <f t="shared" si="1"/>
        <v>4.1497326203208562E-2</v>
      </c>
      <c r="J13" s="140">
        <f t="shared" si="3"/>
        <v>118.71000000000001</v>
      </c>
      <c r="K13" s="87">
        <f t="shared" si="2"/>
        <v>2.5398028809704432E-2</v>
      </c>
      <c r="L13" s="14" t="s">
        <v>477</v>
      </c>
      <c r="M13" s="37" t="s">
        <v>478</v>
      </c>
      <c r="N13" s="23"/>
      <c r="O13" s="49"/>
    </row>
    <row r="14" spans="1:15" s="2" customFormat="1" x14ac:dyDescent="0.25">
      <c r="A14" s="324" t="s">
        <v>14</v>
      </c>
      <c r="B14" s="24" t="s">
        <v>8</v>
      </c>
      <c r="C14" s="16" t="s">
        <v>11</v>
      </c>
      <c r="D14" s="165">
        <v>212.210058</v>
      </c>
      <c r="E14" s="165">
        <v>239.83673999999999</v>
      </c>
      <c r="F14" s="165">
        <v>325.40530799999999</v>
      </c>
      <c r="G14" s="165">
        <v>364.95776999999998</v>
      </c>
      <c r="H14" s="165">
        <v>458.22755100000001</v>
      </c>
      <c r="I14" s="87">
        <f t="shared" si="1"/>
        <v>0.25556321488921863</v>
      </c>
      <c r="J14" s="156">
        <f t="shared" si="3"/>
        <v>320.12748539999996</v>
      </c>
      <c r="K14" s="87">
        <f t="shared" si="2"/>
        <v>0.43139084239344117</v>
      </c>
      <c r="L14" s="14" t="s">
        <v>469</v>
      </c>
      <c r="M14" s="16" t="s">
        <v>470</v>
      </c>
      <c r="N14" s="49"/>
      <c r="O14" s="49"/>
    </row>
    <row r="15" spans="1:15" s="2" customFormat="1" x14ac:dyDescent="0.25">
      <c r="A15" s="324"/>
      <c r="B15" s="26" t="s">
        <v>431</v>
      </c>
      <c r="C15" s="16" t="s">
        <v>11</v>
      </c>
      <c r="D15" s="165">
        <v>19.642854</v>
      </c>
      <c r="E15" s="165">
        <v>20.670031999999999</v>
      </c>
      <c r="F15" s="165">
        <v>43.541547999999999</v>
      </c>
      <c r="G15" s="165">
        <v>65.436750000000004</v>
      </c>
      <c r="H15" s="165">
        <v>101.623346</v>
      </c>
      <c r="I15" s="87">
        <f t="shared" si="1"/>
        <v>0.55300111940155938</v>
      </c>
      <c r="J15" s="156">
        <f t="shared" si="3"/>
        <v>50.182905999999996</v>
      </c>
      <c r="K15" s="87">
        <f t="shared" si="2"/>
        <v>1.0250590111302045</v>
      </c>
      <c r="L15" s="14" t="s">
        <v>469</v>
      </c>
      <c r="M15" s="16" t="s">
        <v>470</v>
      </c>
      <c r="N15" s="49"/>
      <c r="O15" s="49"/>
    </row>
    <row r="16" spans="1:15" s="2" customFormat="1" x14ac:dyDescent="0.25">
      <c r="A16" s="324"/>
      <c r="B16" s="26" t="s">
        <v>439</v>
      </c>
      <c r="C16" s="16" t="s">
        <v>11</v>
      </c>
      <c r="D16" s="165">
        <v>21.707737999999999</v>
      </c>
      <c r="E16" s="165">
        <v>30.671790999999999</v>
      </c>
      <c r="F16" s="165">
        <v>40.641117999999999</v>
      </c>
      <c r="G16" s="165">
        <v>39.011539999999997</v>
      </c>
      <c r="H16" s="165">
        <v>56.570425999999998</v>
      </c>
      <c r="I16" s="87">
        <f t="shared" si="1"/>
        <v>0.45009466429676959</v>
      </c>
      <c r="J16" s="156">
        <f t="shared" si="3"/>
        <v>37.720522599999995</v>
      </c>
      <c r="K16" s="87">
        <f t="shared" si="2"/>
        <v>0.49972540412258248</v>
      </c>
      <c r="L16" s="14" t="s">
        <v>469</v>
      </c>
      <c r="M16" s="16" t="s">
        <v>470</v>
      </c>
      <c r="N16" s="49"/>
      <c r="O16" s="49"/>
    </row>
    <row r="17" spans="1:15" s="2" customFormat="1" x14ac:dyDescent="0.25">
      <c r="A17" s="324"/>
      <c r="B17" s="26" t="s">
        <v>443</v>
      </c>
      <c r="C17" s="16" t="s">
        <v>11</v>
      </c>
      <c r="D17" s="165">
        <v>24.178834999999999</v>
      </c>
      <c r="E17" s="165">
        <v>20.451180000000001</v>
      </c>
      <c r="F17" s="165">
        <v>16.546465000000001</v>
      </c>
      <c r="G17" s="165">
        <v>21.899166000000001</v>
      </c>
      <c r="H17" s="165">
        <v>39.173048000000001</v>
      </c>
      <c r="I17" s="87">
        <f t="shared" si="1"/>
        <v>0.78879177407943302</v>
      </c>
      <c r="J17" s="156">
        <f t="shared" si="3"/>
        <v>24.449738799999999</v>
      </c>
      <c r="K17" s="87">
        <f t="shared" si="2"/>
        <v>0.60218676855558084</v>
      </c>
      <c r="L17" s="14" t="s">
        <v>469</v>
      </c>
      <c r="M17" s="16" t="s">
        <v>470</v>
      </c>
      <c r="N17" s="49"/>
      <c r="O17" s="49"/>
    </row>
    <row r="18" spans="1:15" s="2" customFormat="1" x14ac:dyDescent="0.25">
      <c r="A18" s="36" t="s">
        <v>10</v>
      </c>
      <c r="B18" s="24" t="s">
        <v>8</v>
      </c>
      <c r="C18" s="16" t="s">
        <v>11</v>
      </c>
      <c r="D18" s="165">
        <v>912.44257600000003</v>
      </c>
      <c r="E18" s="165">
        <v>992.74206200000003</v>
      </c>
      <c r="F18" s="165">
        <v>1046.4110780000001</v>
      </c>
      <c r="G18" s="165">
        <v>1015.723496</v>
      </c>
      <c r="H18" s="165">
        <v>1109.990663</v>
      </c>
      <c r="I18" s="87">
        <f t="shared" si="1"/>
        <v>9.2807902319117064E-2</v>
      </c>
      <c r="J18" s="156">
        <f t="shared" si="3"/>
        <v>1015.4619750000002</v>
      </c>
      <c r="K18" s="87">
        <f t="shared" si="2"/>
        <v>9.3089342907202166E-2</v>
      </c>
      <c r="L18" s="14" t="s">
        <v>469</v>
      </c>
      <c r="M18" s="16" t="s">
        <v>470</v>
      </c>
      <c r="N18" s="49"/>
      <c r="O18" s="49"/>
    </row>
    <row r="19" spans="1:15" s="2" customFormat="1" ht="15.75" x14ac:dyDescent="0.25">
      <c r="A19" s="226" t="s">
        <v>533</v>
      </c>
      <c r="B19" s="122" t="s">
        <v>8</v>
      </c>
      <c r="C19" s="55" t="s">
        <v>11</v>
      </c>
      <c r="D19" s="222">
        <f t="shared" ref="D19:H19" si="4">D14-D18</f>
        <v>-700.23251800000003</v>
      </c>
      <c r="E19" s="222">
        <f t="shared" si="4"/>
        <v>-752.90532200000007</v>
      </c>
      <c r="F19" s="222">
        <f t="shared" si="4"/>
        <v>-721.0057700000001</v>
      </c>
      <c r="G19" s="222">
        <f t="shared" si="4"/>
        <v>-650.76572599999997</v>
      </c>
      <c r="H19" s="222">
        <f t="shared" si="4"/>
        <v>-651.76311200000009</v>
      </c>
      <c r="I19" s="89">
        <f t="shared" si="1"/>
        <v>1.5326344952593107E-3</v>
      </c>
      <c r="J19" s="220">
        <f t="shared" si="3"/>
        <v>-695.3344896000001</v>
      </c>
      <c r="K19" s="89">
        <f t="shared" si="2"/>
        <v>-6.266247144603021E-2</v>
      </c>
      <c r="L19" s="58" t="s">
        <v>469</v>
      </c>
      <c r="M19" s="55" t="s">
        <v>470</v>
      </c>
      <c r="N19" s="49"/>
      <c r="O19" s="49"/>
    </row>
    <row r="20" spans="1:15" x14ac:dyDescent="0.25">
      <c r="A20" s="53" t="s">
        <v>80</v>
      </c>
      <c r="F20" s="12"/>
      <c r="G20" s="12"/>
      <c r="H20" s="12"/>
      <c r="I20" s="12"/>
      <c r="J20" s="12"/>
      <c r="K20" s="12"/>
    </row>
    <row r="21" spans="1:15" ht="17.25" x14ac:dyDescent="0.25">
      <c r="A21" s="81" t="s">
        <v>519</v>
      </c>
    </row>
    <row r="22" spans="1:15" ht="17.25" x14ac:dyDescent="0.25">
      <c r="A22" s="81" t="s">
        <v>532</v>
      </c>
    </row>
    <row r="23" spans="1:15" ht="17.25" x14ac:dyDescent="0.25">
      <c r="A23" s="49" t="s">
        <v>521</v>
      </c>
    </row>
    <row r="24" spans="1:15" ht="17.25" x14ac:dyDescent="0.25">
      <c r="A24" s="12" t="s">
        <v>586</v>
      </c>
    </row>
    <row r="25" spans="1:15" ht="17.25" x14ac:dyDescent="0.25">
      <c r="A25" s="81" t="s">
        <v>360</v>
      </c>
    </row>
  </sheetData>
  <mergeCells count="1">
    <mergeCell ref="A14:A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N17"/>
  <sheetViews>
    <sheetView workbookViewId="0"/>
  </sheetViews>
  <sheetFormatPr defaultRowHeight="15" x14ac:dyDescent="0.25"/>
  <cols>
    <col min="1" max="1" width="33.85546875" style="12" bestFit="1" customWidth="1"/>
    <col min="2" max="2" width="14.42578125" style="12" bestFit="1" customWidth="1"/>
    <col min="3" max="3" width="15.7109375" style="12" bestFit="1" customWidth="1"/>
    <col min="4" max="5" width="10.5703125" style="12" bestFit="1" customWidth="1"/>
    <col min="6" max="6" width="10.5703125" style="11" bestFit="1" customWidth="1"/>
    <col min="7" max="7" width="10.7109375" style="11" bestFit="1" customWidth="1"/>
    <col min="8" max="8" width="10.7109375" style="11" customWidth="1"/>
    <col min="9" max="10" width="18.28515625" style="11" customWidth="1"/>
    <col min="11" max="11" width="16.85546875" style="13" bestFit="1" customWidth="1"/>
    <col min="12" max="12" width="37" style="12" bestFit="1" customWidth="1"/>
    <col min="13" max="13" width="124.5703125" style="12" bestFit="1" customWidth="1"/>
    <col min="14" max="14" width="34.7109375" style="12" customWidth="1"/>
  </cols>
  <sheetData>
    <row r="1" spans="1:14" s="1" customFormat="1" ht="30" x14ac:dyDescent="0.25">
      <c r="A1" s="33" t="s">
        <v>0</v>
      </c>
      <c r="B1" s="34" t="s">
        <v>9</v>
      </c>
      <c r="C1" s="232" t="s">
        <v>1</v>
      </c>
      <c r="D1" s="34" t="str">
        <f>+'Output Table'!C1</f>
        <v>2014-15</v>
      </c>
      <c r="E1" s="34" t="str">
        <f>+'Output Table'!D1</f>
        <v>2015-16</v>
      </c>
      <c r="F1" s="34" t="str">
        <f>+'Output Table'!E1</f>
        <v>2016-17</v>
      </c>
      <c r="G1" s="34" t="str">
        <f>+'Output Table'!F1</f>
        <v>2017-18</v>
      </c>
      <c r="H1" s="34" t="str">
        <f>+'Output Table'!G1</f>
        <v>2018-19e</v>
      </c>
      <c r="I1" s="39" t="s">
        <v>136</v>
      </c>
      <c r="J1" s="39" t="s">
        <v>428</v>
      </c>
      <c r="K1" s="41" t="s">
        <v>422</v>
      </c>
      <c r="L1" s="34" t="s">
        <v>15</v>
      </c>
      <c r="M1" s="35" t="s">
        <v>16</v>
      </c>
      <c r="N1" s="10" t="s">
        <v>17</v>
      </c>
    </row>
    <row r="2" spans="1:14" s="2" customFormat="1" ht="15" customHeight="1" x14ac:dyDescent="0.25">
      <c r="A2" s="36" t="s">
        <v>5</v>
      </c>
      <c r="B2" s="14"/>
      <c r="C2" s="105" t="s">
        <v>11</v>
      </c>
      <c r="D2" s="60">
        <v>154.85858931000001</v>
      </c>
      <c r="E2" s="60">
        <v>147.53770394999998</v>
      </c>
      <c r="F2" s="60">
        <v>186.6858153</v>
      </c>
      <c r="G2" s="60">
        <v>227.11570481999999</v>
      </c>
      <c r="H2" s="60">
        <v>234.90814183131243</v>
      </c>
      <c r="I2" s="88">
        <f t="shared" ref="I2:I12" si="0">IF(ISBLANK(H2),"N/A",IF(ISNA(H2/G2-1),"N/A",IF(ISERROR(H2/G2-1),"N/A",H2/G2-1)))</f>
        <v>3.4310427882952022E-2</v>
      </c>
      <c r="J2" s="141">
        <f>IF(ISBLANK(H2),"",IF(ISNA(AVERAGE(D2:H2)),"N/A",IF(ISERROR(AVERAGE(D2:H2)),"N/A",AVERAGE(D2:H2))))</f>
        <v>190.22119104226249</v>
      </c>
      <c r="K2" s="88">
        <f>IF(ISBLANK(H2),"",IF(ISNA(H2/AVERAGE(D2:H2)-1),"N/A",IF(ISERROR(H2/AVERAGE(D2:H2)-1),"N/A",H2/AVERAGE(D2:H2)-1)))</f>
        <v>0.23492099142162126</v>
      </c>
      <c r="L2" s="14" t="s">
        <v>485</v>
      </c>
      <c r="M2" s="169" t="s">
        <v>484</v>
      </c>
      <c r="N2" s="49" t="s">
        <v>511</v>
      </c>
    </row>
    <row r="3" spans="1:14" s="2" customFormat="1" x14ac:dyDescent="0.25">
      <c r="A3" s="36" t="s">
        <v>20</v>
      </c>
      <c r="B3" s="14"/>
      <c r="C3" s="105" t="s">
        <v>22</v>
      </c>
      <c r="D3" s="173">
        <v>31.737779999999997</v>
      </c>
      <c r="E3" s="173">
        <v>29.211220000000001</v>
      </c>
      <c r="F3" s="176">
        <v>30.111339999999998</v>
      </c>
      <c r="G3" s="177">
        <v>34.37688</v>
      </c>
      <c r="H3" s="67" t="s">
        <v>93</v>
      </c>
      <c r="I3" s="71" t="str">
        <f t="shared" si="0"/>
        <v>N/A</v>
      </c>
      <c r="J3" s="142">
        <f t="shared" ref="J3:J12" si="1">IF(ISBLANK(H3),"",IF(ISNA(AVERAGE(D3:H3)),"N/A",IF(ISERROR(AVERAGE(D3:H3)),"N/A",AVERAGE(D3:H3))))</f>
        <v>31.359304999999999</v>
      </c>
      <c r="K3" s="71" t="str">
        <f t="shared" ref="K3:K12" si="2">IF(ISBLANK(H3),"",IF(ISNA(H3/AVERAGE(D3:H3)-1),"N/A",IF(ISERROR(H3/AVERAGE(D3:H3)-1),"N/A",H3/AVERAGE(D3:H3)-1)))</f>
        <v>N/A</v>
      </c>
      <c r="L3" s="14" t="s">
        <v>479</v>
      </c>
      <c r="M3" s="37" t="s">
        <v>480</v>
      </c>
      <c r="N3" s="49"/>
    </row>
    <row r="4" spans="1:14" s="2" customFormat="1" x14ac:dyDescent="0.25">
      <c r="A4" s="36" t="s">
        <v>21</v>
      </c>
      <c r="B4" s="14"/>
      <c r="C4" s="105" t="s">
        <v>23</v>
      </c>
      <c r="D4" s="173">
        <v>15.53</v>
      </c>
      <c r="E4" s="173">
        <v>15.35</v>
      </c>
      <c r="F4" s="173">
        <v>17.690000000000001</v>
      </c>
      <c r="G4" s="177">
        <v>16.600000000000001</v>
      </c>
      <c r="H4" s="67" t="s">
        <v>93</v>
      </c>
      <c r="I4" s="71" t="str">
        <f t="shared" si="0"/>
        <v>N/A</v>
      </c>
      <c r="J4" s="142">
        <f t="shared" si="1"/>
        <v>16.2925</v>
      </c>
      <c r="K4" s="71" t="str">
        <f t="shared" si="2"/>
        <v>N/A</v>
      </c>
      <c r="L4" s="14" t="s">
        <v>479</v>
      </c>
      <c r="M4" s="37" t="s">
        <v>480</v>
      </c>
      <c r="N4" s="49"/>
    </row>
    <row r="5" spans="1:14" s="2" customFormat="1" ht="17.25" x14ac:dyDescent="0.25">
      <c r="A5" s="36" t="s">
        <v>425</v>
      </c>
      <c r="B5" s="14"/>
      <c r="C5" s="106" t="s">
        <v>12</v>
      </c>
      <c r="D5" s="21">
        <v>332.09199999999998</v>
      </c>
      <c r="E5" s="21">
        <v>348.44099999999997</v>
      </c>
      <c r="F5" s="138">
        <v>349.34699999999998</v>
      </c>
      <c r="G5" s="138">
        <v>317.75400000000002</v>
      </c>
      <c r="H5" s="138">
        <v>320.94099999999997</v>
      </c>
      <c r="I5" s="88">
        <f t="shared" si="0"/>
        <v>1.0029771458423653E-2</v>
      </c>
      <c r="J5" s="141">
        <f t="shared" si="1"/>
        <v>333.71500000000003</v>
      </c>
      <c r="K5" s="88">
        <f t="shared" si="2"/>
        <v>-3.827817149363999E-2</v>
      </c>
      <c r="L5" s="43" t="s">
        <v>490</v>
      </c>
      <c r="M5" s="37" t="s">
        <v>491</v>
      </c>
      <c r="N5" s="27"/>
    </row>
    <row r="6" spans="1:14" s="2" customFormat="1" x14ac:dyDescent="0.25">
      <c r="A6" s="36" t="s">
        <v>461</v>
      </c>
      <c r="B6" s="14"/>
      <c r="C6" s="105" t="s">
        <v>13</v>
      </c>
      <c r="D6" s="21">
        <v>475.77499999999998</v>
      </c>
      <c r="E6" s="21">
        <v>544.1</v>
      </c>
      <c r="F6" s="21">
        <v>565</v>
      </c>
      <c r="G6" s="21">
        <v>609</v>
      </c>
      <c r="H6" s="21">
        <v>664</v>
      </c>
      <c r="I6" s="88">
        <f t="shared" si="0"/>
        <v>9.0311986863711002E-2</v>
      </c>
      <c r="J6" s="141">
        <f t="shared" si="1"/>
        <v>571.57500000000005</v>
      </c>
      <c r="K6" s="88">
        <f t="shared" si="2"/>
        <v>0.16170231378209321</v>
      </c>
      <c r="L6" s="43" t="s">
        <v>473</v>
      </c>
      <c r="M6" s="44" t="s">
        <v>474</v>
      </c>
      <c r="N6" s="27"/>
    </row>
    <row r="7" spans="1:14" s="2" customFormat="1" x14ac:dyDescent="0.25">
      <c r="A7" s="324" t="s">
        <v>14</v>
      </c>
      <c r="B7" s="24" t="s">
        <v>8</v>
      </c>
      <c r="C7" s="105" t="s">
        <v>11</v>
      </c>
      <c r="D7" s="165">
        <v>490.148143</v>
      </c>
      <c r="E7" s="165">
        <v>506.79865799999999</v>
      </c>
      <c r="F7" s="165">
        <v>507.65681699999999</v>
      </c>
      <c r="G7" s="165">
        <v>519.64791400000001</v>
      </c>
      <c r="H7" s="165">
        <v>539.84796500000004</v>
      </c>
      <c r="I7" s="87">
        <f t="shared" si="0"/>
        <v>3.8872572093111568E-2</v>
      </c>
      <c r="J7" s="156">
        <f t="shared" si="1"/>
        <v>512.81989940000005</v>
      </c>
      <c r="K7" s="87">
        <f t="shared" si="2"/>
        <v>5.2704790963889803E-2</v>
      </c>
      <c r="L7" s="14" t="s">
        <v>469</v>
      </c>
      <c r="M7" s="16" t="s">
        <v>470</v>
      </c>
      <c r="N7" s="49"/>
    </row>
    <row r="8" spans="1:14" s="2" customFormat="1" x14ac:dyDescent="0.25">
      <c r="A8" s="324"/>
      <c r="B8" s="26" t="s">
        <v>443</v>
      </c>
      <c r="C8" s="105" t="s">
        <v>11</v>
      </c>
      <c r="D8" s="165">
        <v>253.47308000000001</v>
      </c>
      <c r="E8" s="165">
        <v>261.01698499999998</v>
      </c>
      <c r="F8" s="165">
        <v>245.37803600000001</v>
      </c>
      <c r="G8" s="165">
        <v>226.765502</v>
      </c>
      <c r="H8" s="165">
        <v>244.55725899999999</v>
      </c>
      <c r="I8" s="87">
        <f t="shared" si="0"/>
        <v>7.8458834536480726E-2</v>
      </c>
      <c r="J8" s="156">
        <f t="shared" si="1"/>
        <v>246.2381724</v>
      </c>
      <c r="K8" s="87">
        <f t="shared" si="2"/>
        <v>-6.8263721405040778E-3</v>
      </c>
      <c r="L8" s="14" t="s">
        <v>469</v>
      </c>
      <c r="M8" s="16" t="s">
        <v>470</v>
      </c>
      <c r="N8" s="49"/>
    </row>
    <row r="9" spans="1:14" s="2" customFormat="1" x14ac:dyDescent="0.25">
      <c r="A9" s="324"/>
      <c r="B9" s="26" t="s">
        <v>444</v>
      </c>
      <c r="C9" s="105" t="s">
        <v>11</v>
      </c>
      <c r="D9" s="165">
        <v>56.631670999999997</v>
      </c>
      <c r="E9" s="165">
        <v>50.007936000000001</v>
      </c>
      <c r="F9" s="165">
        <v>51.020111</v>
      </c>
      <c r="G9" s="165">
        <v>85.769851000000003</v>
      </c>
      <c r="H9" s="165">
        <v>88.115504999999999</v>
      </c>
      <c r="I9" s="87">
        <f t="shared" si="0"/>
        <v>2.7348234521242132E-2</v>
      </c>
      <c r="J9" s="156">
        <f t="shared" si="1"/>
        <v>66.3090148</v>
      </c>
      <c r="K9" s="87">
        <f t="shared" si="2"/>
        <v>0.3288616225979577</v>
      </c>
      <c r="L9" s="14" t="s">
        <v>469</v>
      </c>
      <c r="M9" s="16" t="s">
        <v>470</v>
      </c>
      <c r="N9" s="49"/>
    </row>
    <row r="10" spans="1:14" s="2" customFormat="1" x14ac:dyDescent="0.25">
      <c r="A10" s="324"/>
      <c r="B10" s="26" t="s">
        <v>431</v>
      </c>
      <c r="C10" s="105" t="s">
        <v>11</v>
      </c>
      <c r="D10" s="165">
        <v>32.220903</v>
      </c>
      <c r="E10" s="165">
        <v>43.166558000000002</v>
      </c>
      <c r="F10" s="165">
        <v>57.536251</v>
      </c>
      <c r="G10" s="165">
        <v>65.526891000000006</v>
      </c>
      <c r="H10" s="165">
        <v>58.363261999999999</v>
      </c>
      <c r="I10" s="87">
        <f t="shared" si="0"/>
        <v>-0.10932349895861848</v>
      </c>
      <c r="J10" s="156">
        <f t="shared" si="1"/>
        <v>51.362773000000004</v>
      </c>
      <c r="K10" s="87">
        <f t="shared" si="2"/>
        <v>0.13629499715679283</v>
      </c>
      <c r="L10" s="14" t="s">
        <v>469</v>
      </c>
      <c r="M10" s="16" t="s">
        <v>470</v>
      </c>
      <c r="N10" s="49"/>
    </row>
    <row r="11" spans="1:14" s="2" customFormat="1" x14ac:dyDescent="0.25">
      <c r="A11" s="36" t="s">
        <v>10</v>
      </c>
      <c r="B11" s="24" t="s">
        <v>8</v>
      </c>
      <c r="C11" s="105" t="s">
        <v>11</v>
      </c>
      <c r="D11" s="165">
        <v>239.716013</v>
      </c>
      <c r="E11" s="165">
        <v>264.11461500000001</v>
      </c>
      <c r="F11" s="165">
        <v>231.198892</v>
      </c>
      <c r="G11" s="165">
        <v>248.96032600000001</v>
      </c>
      <c r="H11" s="165">
        <v>265.46900599999998</v>
      </c>
      <c r="I11" s="87">
        <f t="shared" si="0"/>
        <v>6.6310485149348564E-2</v>
      </c>
      <c r="J11" s="156">
        <f t="shared" si="1"/>
        <v>249.89177039999998</v>
      </c>
      <c r="K11" s="87">
        <f t="shared" si="2"/>
        <v>6.2335928770545834E-2</v>
      </c>
      <c r="L11" s="14" t="s">
        <v>469</v>
      </c>
      <c r="M11" s="16" t="s">
        <v>470</v>
      </c>
      <c r="N11" s="49"/>
    </row>
    <row r="12" spans="1:14" s="2" customFormat="1" ht="15.75" x14ac:dyDescent="0.25">
      <c r="A12" s="226" t="s">
        <v>533</v>
      </c>
      <c r="B12" s="122" t="s">
        <v>8</v>
      </c>
      <c r="C12" s="233" t="s">
        <v>11</v>
      </c>
      <c r="D12" s="222">
        <f t="shared" ref="D12:G12" si="3">+D7-D11</f>
        <v>250.43213</v>
      </c>
      <c r="E12" s="222">
        <f t="shared" si="3"/>
        <v>242.68404299999997</v>
      </c>
      <c r="F12" s="222">
        <f t="shared" si="3"/>
        <v>276.45792499999999</v>
      </c>
      <c r="G12" s="222">
        <f t="shared" si="3"/>
        <v>270.68758800000001</v>
      </c>
      <c r="H12" s="222">
        <f>+H7-H11</f>
        <v>274.37895900000007</v>
      </c>
      <c r="I12" s="89">
        <f t="shared" si="0"/>
        <v>1.3637016116158529E-2</v>
      </c>
      <c r="J12" s="220">
        <f t="shared" si="1"/>
        <v>262.92812900000001</v>
      </c>
      <c r="K12" s="89">
        <f t="shared" si="2"/>
        <v>4.3551178961152681E-2</v>
      </c>
      <c r="L12" s="61" t="s">
        <v>469</v>
      </c>
      <c r="M12" s="62" t="s">
        <v>470</v>
      </c>
      <c r="N12" s="49"/>
    </row>
    <row r="13" spans="1:14" x14ac:dyDescent="0.25">
      <c r="A13" s="53" t="s">
        <v>80</v>
      </c>
      <c r="F13" s="12"/>
      <c r="G13" s="12"/>
      <c r="H13" s="12"/>
      <c r="I13" s="12"/>
      <c r="J13" s="12"/>
      <c r="K13" s="12"/>
    </row>
    <row r="14" spans="1:14" ht="17.25" x14ac:dyDescent="0.25">
      <c r="A14" s="81" t="s">
        <v>519</v>
      </c>
    </row>
    <row r="15" spans="1:14" ht="17.25" x14ac:dyDescent="0.25">
      <c r="A15" s="81" t="s">
        <v>532</v>
      </c>
    </row>
    <row r="16" spans="1:14" ht="18" customHeight="1" x14ac:dyDescent="0.25">
      <c r="A16" s="49" t="s">
        <v>521</v>
      </c>
    </row>
    <row r="17" spans="1:1" ht="17.25" x14ac:dyDescent="0.25">
      <c r="A17" s="49" t="s">
        <v>516</v>
      </c>
    </row>
  </sheetData>
  <mergeCells count="1">
    <mergeCell ref="A7:A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sheetPr>
  <dimension ref="A1:N21"/>
  <sheetViews>
    <sheetView workbookViewId="0"/>
  </sheetViews>
  <sheetFormatPr defaultRowHeight="15" x14ac:dyDescent="0.25"/>
  <cols>
    <col min="1" max="1" width="33.85546875" style="12" bestFit="1" customWidth="1"/>
    <col min="2" max="2" width="13.140625" style="12" bestFit="1" customWidth="1"/>
    <col min="3" max="3" width="15.7109375" style="12" bestFit="1" customWidth="1"/>
    <col min="4" max="4" width="13.28515625" style="12" bestFit="1" customWidth="1"/>
    <col min="5" max="5" width="11.5703125" style="12" bestFit="1" customWidth="1"/>
    <col min="6" max="6" width="11.5703125" style="11" bestFit="1" customWidth="1"/>
    <col min="7" max="7" width="13.28515625" style="11" bestFit="1" customWidth="1"/>
    <col min="8" max="8" width="10.7109375" style="11" customWidth="1"/>
    <col min="9" max="10" width="16.28515625" style="11" customWidth="1"/>
    <col min="11" max="11" width="16.85546875" style="13" bestFit="1" customWidth="1"/>
    <col min="12" max="12" width="25.5703125" style="12" bestFit="1" customWidth="1"/>
    <col min="13" max="13" width="113.140625" style="12" bestFit="1" customWidth="1"/>
    <col min="14" max="14" width="34.7109375" style="12" customWidth="1"/>
  </cols>
  <sheetData>
    <row r="1" spans="1:14" s="1" customFormat="1" ht="30" x14ac:dyDescent="0.25">
      <c r="A1" s="33" t="s">
        <v>0</v>
      </c>
      <c r="B1" s="34" t="s">
        <v>9</v>
      </c>
      <c r="C1" s="35" t="s">
        <v>1</v>
      </c>
      <c r="D1" s="34" t="str">
        <f>+'Output Table'!C1</f>
        <v>2014-15</v>
      </c>
      <c r="E1" s="34" t="str">
        <f>+'Output Table'!D1</f>
        <v>2015-16</v>
      </c>
      <c r="F1" s="34" t="str">
        <f>+'Output Table'!E1</f>
        <v>2016-17</v>
      </c>
      <c r="G1" s="34" t="str">
        <f>+'Output Table'!F1</f>
        <v>2017-18</v>
      </c>
      <c r="H1" s="34" t="str">
        <f>+'Output Table'!G1</f>
        <v>2018-19e</v>
      </c>
      <c r="I1" s="39" t="s">
        <v>136</v>
      </c>
      <c r="J1" s="39" t="s">
        <v>428</v>
      </c>
      <c r="K1" s="41" t="s">
        <v>422</v>
      </c>
      <c r="L1" s="34" t="s">
        <v>15</v>
      </c>
      <c r="M1" s="35" t="s">
        <v>16</v>
      </c>
      <c r="N1" s="10" t="s">
        <v>17</v>
      </c>
    </row>
    <row r="2" spans="1:14" s="2" customFormat="1" ht="18" customHeight="1" x14ac:dyDescent="0.25">
      <c r="A2" s="36" t="s">
        <v>5</v>
      </c>
      <c r="B2" s="14"/>
      <c r="C2" s="16" t="s">
        <v>11</v>
      </c>
      <c r="D2" s="29">
        <v>2292.88049473</v>
      </c>
      <c r="E2" s="17">
        <v>2561.8793802</v>
      </c>
      <c r="F2" s="17">
        <v>2364.1512830000001</v>
      </c>
      <c r="G2" s="17">
        <v>2387.2431421000001</v>
      </c>
      <c r="H2" s="60">
        <v>2588.297174728425</v>
      </c>
      <c r="I2" s="88">
        <f t="shared" ref="I2:I17" si="0">IF(ISBLANK(H2),"N/A",IF(ISNA(H2/G2-1),"N/A",IF(ISERROR(H2/G2-1),"N/A",H2/G2-1)))</f>
        <v>8.4220173924790309E-2</v>
      </c>
      <c r="J2" s="141">
        <f>IF(ISBLANK(H2),"",IF(ISNA(AVERAGE(D2:H2)),"N/A",IF(ISERROR(AVERAGE(D2:H2)),"N/A",AVERAGE(D2:H2))))</f>
        <v>2438.8902949516851</v>
      </c>
      <c r="K2" s="88">
        <f t="shared" ref="K2:K17" si="1">IF(ISBLANK(H2),"",IF(ISNA(H2/AVERAGE(D2:H2)-1),"N/A",IF(ISERROR(H2/AVERAGE(D2:H2)-1),"N/A",H2/AVERAGE(D2:H2)-1)))</f>
        <v>6.1260188736656396E-2</v>
      </c>
      <c r="L2" s="14" t="s">
        <v>485</v>
      </c>
      <c r="M2" s="169" t="s">
        <v>484</v>
      </c>
      <c r="N2" s="49" t="s">
        <v>511</v>
      </c>
    </row>
    <row r="3" spans="1:14" s="2" customFormat="1" x14ac:dyDescent="0.25">
      <c r="A3" s="36" t="s">
        <v>42</v>
      </c>
      <c r="B3" s="24"/>
      <c r="C3" s="15" t="s">
        <v>40</v>
      </c>
      <c r="D3" s="30">
        <v>300.37900000000002</v>
      </c>
      <c r="E3" s="21">
        <v>304.11697731300001</v>
      </c>
      <c r="F3" s="21">
        <v>301.14168525475003</v>
      </c>
      <c r="G3" s="21">
        <v>329.6789928915</v>
      </c>
      <c r="H3" s="21">
        <v>327.25840391524997</v>
      </c>
      <c r="I3" s="88">
        <f t="shared" si="0"/>
        <v>-7.3422602848300933E-3</v>
      </c>
      <c r="J3" s="141">
        <f t="shared" ref="J3:J17" si="2">IF(ISBLANK(H3),"",IF(ISNA(AVERAGE(D3:H3)),"N/A",IF(ISERROR(AVERAGE(D3:H3)),"N/A",AVERAGE(D3:H3))))</f>
        <v>312.51501187490004</v>
      </c>
      <c r="K3" s="88">
        <f t="shared" si="1"/>
        <v>4.7176588260188002E-2</v>
      </c>
      <c r="L3" s="14" t="s">
        <v>488</v>
      </c>
      <c r="M3" s="44" t="s">
        <v>489</v>
      </c>
      <c r="N3" s="27"/>
    </row>
    <row r="4" spans="1:14" s="2" customFormat="1" x14ac:dyDescent="0.25">
      <c r="A4" s="36" t="s">
        <v>41</v>
      </c>
      <c r="B4" s="24"/>
      <c r="C4" s="15" t="s">
        <v>40</v>
      </c>
      <c r="D4" s="30">
        <v>4959.1402500000004</v>
      </c>
      <c r="E4" s="134">
        <v>4997.7004100000004</v>
      </c>
      <c r="F4" s="134">
        <v>5287.1658899999993</v>
      </c>
      <c r="G4" s="134">
        <v>4727.0546199999999</v>
      </c>
      <c r="H4" s="83" t="s">
        <v>93</v>
      </c>
      <c r="I4" s="71" t="str">
        <f t="shared" si="0"/>
        <v>N/A</v>
      </c>
      <c r="J4" s="142">
        <f t="shared" si="2"/>
        <v>4992.7652925000002</v>
      </c>
      <c r="K4" s="71" t="str">
        <f t="shared" si="1"/>
        <v>N/A</v>
      </c>
      <c r="L4" s="14" t="s">
        <v>488</v>
      </c>
      <c r="M4" s="44" t="s">
        <v>489</v>
      </c>
      <c r="N4" s="27"/>
    </row>
    <row r="5" spans="1:14" s="2" customFormat="1" x14ac:dyDescent="0.25">
      <c r="A5" s="36" t="s">
        <v>50</v>
      </c>
      <c r="B5" s="24"/>
      <c r="C5" s="15" t="s">
        <v>47</v>
      </c>
      <c r="D5" s="63">
        <v>0.20589478395147992</v>
      </c>
      <c r="E5" s="88">
        <v>0.20956222943589325</v>
      </c>
      <c r="F5" s="88">
        <v>0.21180833492783335</v>
      </c>
      <c r="G5" s="88">
        <v>0.18619490278207712</v>
      </c>
      <c r="H5" s="83" t="s">
        <v>93</v>
      </c>
      <c r="I5" s="71" t="str">
        <f t="shared" si="0"/>
        <v>N/A</v>
      </c>
      <c r="J5" s="142">
        <f t="shared" si="2"/>
        <v>0.20336506277432093</v>
      </c>
      <c r="K5" s="71" t="str">
        <f t="shared" si="1"/>
        <v>N/A</v>
      </c>
      <c r="L5" s="14" t="s">
        <v>488</v>
      </c>
      <c r="M5" s="44" t="s">
        <v>489</v>
      </c>
      <c r="N5" s="27"/>
    </row>
    <row r="6" spans="1:14" s="2" customFormat="1" x14ac:dyDescent="0.25">
      <c r="A6" s="36" t="s">
        <v>90</v>
      </c>
      <c r="B6" s="14"/>
      <c r="C6" s="15" t="s">
        <v>12</v>
      </c>
      <c r="D6" s="30">
        <v>595.65499999999997</v>
      </c>
      <c r="E6" s="21">
        <v>521.42399999999998</v>
      </c>
      <c r="F6" s="21">
        <v>450.38299999999998</v>
      </c>
      <c r="G6" s="20">
        <v>500.9359</v>
      </c>
      <c r="H6" s="20">
        <v>535.53969999999993</v>
      </c>
      <c r="I6" s="87">
        <f t="shared" si="0"/>
        <v>6.9078299239483387E-2</v>
      </c>
      <c r="J6" s="140">
        <f t="shared" si="2"/>
        <v>520.78751999999997</v>
      </c>
      <c r="K6" s="87">
        <f t="shared" si="1"/>
        <v>2.8326677259854272E-2</v>
      </c>
      <c r="L6" s="14" t="s">
        <v>488</v>
      </c>
      <c r="M6" s="44" t="s">
        <v>489</v>
      </c>
      <c r="N6" s="27"/>
    </row>
    <row r="7" spans="1:14" s="2" customFormat="1" x14ac:dyDescent="0.25">
      <c r="A7" s="36" t="s">
        <v>91</v>
      </c>
      <c r="B7" s="14"/>
      <c r="C7" s="15" t="s">
        <v>54</v>
      </c>
      <c r="D7" s="30">
        <v>2236.8180000000002</v>
      </c>
      <c r="E7" s="20">
        <v>1894.3820000000001</v>
      </c>
      <c r="F7" s="20">
        <v>1577.598</v>
      </c>
      <c r="G7" s="20">
        <v>1704.2650000000001</v>
      </c>
      <c r="H7" s="20">
        <v>1910.114</v>
      </c>
      <c r="I7" s="87">
        <f t="shared" si="0"/>
        <v>0.12078461976277155</v>
      </c>
      <c r="J7" s="140">
        <f t="shared" si="2"/>
        <v>1864.6354000000003</v>
      </c>
      <c r="K7" s="87">
        <f t="shared" si="1"/>
        <v>2.4390076472858846E-2</v>
      </c>
      <c r="L7" s="14" t="s">
        <v>488</v>
      </c>
      <c r="M7" s="44" t="s">
        <v>489</v>
      </c>
      <c r="N7" s="27"/>
    </row>
    <row r="8" spans="1:14" s="2" customFormat="1" x14ac:dyDescent="0.25">
      <c r="A8" s="36" t="s">
        <v>94</v>
      </c>
      <c r="B8" s="14"/>
      <c r="C8" s="15" t="s">
        <v>92</v>
      </c>
      <c r="D8" s="30">
        <f>(D6*1000000)/(D7*1000)</f>
        <v>266.29569325711793</v>
      </c>
      <c r="E8" s="21">
        <f t="shared" ref="E8:G8" si="3">(E6*1000000)/(E7*1000)</f>
        <v>275.24754774908121</v>
      </c>
      <c r="F8" s="21">
        <f t="shared" si="3"/>
        <v>285.48654346671333</v>
      </c>
      <c r="G8" s="20">
        <f t="shared" si="3"/>
        <v>293.93075607373265</v>
      </c>
      <c r="H8" s="20">
        <f>(H6*1000000)/(H7*1000)</f>
        <v>280.37054332882747</v>
      </c>
      <c r="I8" s="87">
        <f t="shared" si="0"/>
        <v>-4.6134038254586729E-2</v>
      </c>
      <c r="J8" s="140">
        <f t="shared" si="2"/>
        <v>280.26621677509456</v>
      </c>
      <c r="K8" s="87">
        <f t="shared" si="1"/>
        <v>3.7224091770093892E-4</v>
      </c>
      <c r="L8" s="14" t="s">
        <v>488</v>
      </c>
      <c r="M8" s="44" t="s">
        <v>489</v>
      </c>
      <c r="N8" s="27"/>
    </row>
    <row r="9" spans="1:14" s="2" customFormat="1" x14ac:dyDescent="0.25">
      <c r="A9" s="36" t="s">
        <v>87</v>
      </c>
      <c r="B9" s="14"/>
      <c r="C9" s="16" t="s">
        <v>55</v>
      </c>
      <c r="D9" s="171">
        <v>400.75688073394497</v>
      </c>
      <c r="E9" s="172">
        <v>578.00991189427316</v>
      </c>
      <c r="F9" s="172">
        <v>660.625</v>
      </c>
      <c r="G9" s="172">
        <v>541.30711206896547</v>
      </c>
      <c r="H9" s="172">
        <v>484.51439790575915</v>
      </c>
      <c r="I9" s="88">
        <f t="shared" si="0"/>
        <v>-0.10491773135242055</v>
      </c>
      <c r="J9" s="141">
        <f t="shared" si="2"/>
        <v>533.04266052058858</v>
      </c>
      <c r="K9" s="88">
        <f t="shared" si="1"/>
        <v>-9.104011031206205E-2</v>
      </c>
      <c r="L9" s="14" t="s">
        <v>488</v>
      </c>
      <c r="M9" s="44" t="s">
        <v>489</v>
      </c>
      <c r="N9" s="27"/>
    </row>
    <row r="10" spans="1:14" s="2" customFormat="1" x14ac:dyDescent="0.25">
      <c r="A10" s="36" t="s">
        <v>88</v>
      </c>
      <c r="B10" s="14"/>
      <c r="C10" s="16" t="s">
        <v>55</v>
      </c>
      <c r="D10" s="171">
        <v>323.34998002048809</v>
      </c>
      <c r="E10" s="172">
        <v>425.95418654702632</v>
      </c>
      <c r="F10" s="172">
        <v>458.17769650728656</v>
      </c>
      <c r="G10" s="172">
        <v>388.67203898169703</v>
      </c>
      <c r="H10" s="172">
        <v>386.22797826504188</v>
      </c>
      <c r="I10" s="88">
        <f t="shared" si="0"/>
        <v>-6.2882339647031271E-3</v>
      </c>
      <c r="J10" s="141">
        <f t="shared" si="2"/>
        <v>396.47637606430794</v>
      </c>
      <c r="K10" s="88">
        <f t="shared" si="1"/>
        <v>-2.5848697218731065E-2</v>
      </c>
      <c r="L10" s="14" t="s">
        <v>488</v>
      </c>
      <c r="M10" s="44" t="s">
        <v>489</v>
      </c>
      <c r="N10" s="27"/>
    </row>
    <row r="11" spans="1:14" s="2" customFormat="1" x14ac:dyDescent="0.25">
      <c r="A11" s="36" t="s">
        <v>89</v>
      </c>
      <c r="B11" s="14"/>
      <c r="C11" s="16" t="s">
        <v>55</v>
      </c>
      <c r="D11" s="30">
        <v>389.83793808217956</v>
      </c>
      <c r="E11" s="21">
        <v>516.86994957901675</v>
      </c>
      <c r="F11" s="21">
        <v>551.8130486669512</v>
      </c>
      <c r="G11" s="21">
        <v>482.40814419167566</v>
      </c>
      <c r="H11" s="21">
        <v>503.98284215644009</v>
      </c>
      <c r="I11" s="88">
        <f t="shared" si="0"/>
        <v>4.4722914039760031E-2</v>
      </c>
      <c r="J11" s="141">
        <f t="shared" si="2"/>
        <v>488.98238453525266</v>
      </c>
      <c r="K11" s="88">
        <f t="shared" si="1"/>
        <v>3.0676887543596099E-2</v>
      </c>
      <c r="L11" s="14" t="s">
        <v>488</v>
      </c>
      <c r="M11" s="44" t="s">
        <v>489</v>
      </c>
      <c r="N11" s="27"/>
    </row>
    <row r="12" spans="1:14" s="2" customFormat="1" x14ac:dyDescent="0.25">
      <c r="A12" s="325" t="s">
        <v>14</v>
      </c>
      <c r="B12" s="24" t="s">
        <v>8</v>
      </c>
      <c r="C12" s="16" t="s">
        <v>11</v>
      </c>
      <c r="D12" s="170">
        <v>1722.4811400000001</v>
      </c>
      <c r="E12" s="165">
        <v>1577.454438</v>
      </c>
      <c r="F12" s="165">
        <v>1303.5414880000001</v>
      </c>
      <c r="G12" s="165">
        <v>1479.4857260000001</v>
      </c>
      <c r="H12" s="165">
        <v>1802.3339000000001</v>
      </c>
      <c r="I12" s="87">
        <f t="shared" si="0"/>
        <v>0.21821648450293996</v>
      </c>
      <c r="J12" s="156">
        <f t="shared" si="2"/>
        <v>1577.0593383999999</v>
      </c>
      <c r="K12" s="87">
        <f t="shared" si="1"/>
        <v>0.14284469589365711</v>
      </c>
      <c r="L12" s="14" t="s">
        <v>469</v>
      </c>
      <c r="M12" s="16" t="s">
        <v>470</v>
      </c>
      <c r="N12" s="49"/>
    </row>
    <row r="13" spans="1:14" s="2" customFormat="1" x14ac:dyDescent="0.25">
      <c r="A13" s="325"/>
      <c r="B13" s="26" t="s">
        <v>431</v>
      </c>
      <c r="C13" s="16" t="s">
        <v>11</v>
      </c>
      <c r="D13" s="170">
        <v>179.762045</v>
      </c>
      <c r="E13" s="165">
        <v>208.84508299999999</v>
      </c>
      <c r="F13" s="165">
        <v>148.58690799999999</v>
      </c>
      <c r="G13" s="165">
        <v>248.96375599999999</v>
      </c>
      <c r="H13" s="165">
        <v>500.39761499999997</v>
      </c>
      <c r="I13" s="87">
        <f>IF(ISBLANK(H13),"N/A",IF(ISNA(H13/G13-1),"N/A",IF(ISERROR(H13/G13-1),"N/A",H13/G13-1)))</f>
        <v>1.0099215365308032</v>
      </c>
      <c r="J13" s="156">
        <f>IF(ISBLANK(H13),"",IF(ISNA(AVERAGE(D13:H13)),"N/A",IF(ISERROR(AVERAGE(D13:H13)),"N/A",AVERAGE(D13:H13))))</f>
        <v>257.31108139999998</v>
      </c>
      <c r="K13" s="87">
        <f>IF(ISBLANK(H13),"",IF(ISNA(H13/AVERAGE(D13:H13)-1),"N/A",IF(ISERROR(H13/AVERAGE(D13:H13)-1),"N/A",H13/AVERAGE(D13:H13)-1)))</f>
        <v>0.94471847958274524</v>
      </c>
      <c r="L13" s="14" t="s">
        <v>469</v>
      </c>
      <c r="M13" s="16" t="s">
        <v>470</v>
      </c>
      <c r="N13" s="49"/>
    </row>
    <row r="14" spans="1:14" s="2" customFormat="1" x14ac:dyDescent="0.25">
      <c r="A14" s="325"/>
      <c r="B14" s="26" t="s">
        <v>439</v>
      </c>
      <c r="C14" s="16" t="s">
        <v>11</v>
      </c>
      <c r="D14" s="170">
        <v>318.125676</v>
      </c>
      <c r="E14" s="165">
        <v>319.61097100000001</v>
      </c>
      <c r="F14" s="165">
        <v>357.53304900000001</v>
      </c>
      <c r="G14" s="165">
        <v>383.31357100000002</v>
      </c>
      <c r="H14" s="165">
        <v>401.82855699999999</v>
      </c>
      <c r="I14" s="87">
        <f t="shared" si="0"/>
        <v>4.8302453658756406E-2</v>
      </c>
      <c r="J14" s="156">
        <f t="shared" si="2"/>
        <v>356.08236479999999</v>
      </c>
      <c r="K14" s="87">
        <f t="shared" si="1"/>
        <v>0.12847081664854176</v>
      </c>
      <c r="L14" s="14" t="s">
        <v>469</v>
      </c>
      <c r="M14" s="16" t="s">
        <v>470</v>
      </c>
      <c r="N14" s="49"/>
    </row>
    <row r="15" spans="1:14" s="2" customFormat="1" x14ac:dyDescent="0.25">
      <c r="A15" s="325"/>
      <c r="B15" s="26" t="s">
        <v>443</v>
      </c>
      <c r="C15" s="16" t="s">
        <v>11</v>
      </c>
      <c r="D15" s="170">
        <v>628.02971000000002</v>
      </c>
      <c r="E15" s="165">
        <v>463.537509</v>
      </c>
      <c r="F15" s="165">
        <v>248.26018300000001</v>
      </c>
      <c r="G15" s="165">
        <v>282.82933000000003</v>
      </c>
      <c r="H15" s="165">
        <v>267.27266400000002</v>
      </c>
      <c r="I15" s="87">
        <f t="shared" si="0"/>
        <v>-5.5003722563002899E-2</v>
      </c>
      <c r="J15" s="156">
        <f t="shared" si="2"/>
        <v>377.98587920000006</v>
      </c>
      <c r="K15" s="87">
        <f t="shared" si="1"/>
        <v>-0.29290304556964519</v>
      </c>
      <c r="L15" s="14" t="s">
        <v>469</v>
      </c>
      <c r="M15" s="16" t="s">
        <v>470</v>
      </c>
      <c r="N15" s="49"/>
    </row>
    <row r="16" spans="1:14" s="2" customFormat="1" x14ac:dyDescent="0.25">
      <c r="A16" s="36" t="s">
        <v>10</v>
      </c>
      <c r="B16" s="24" t="s">
        <v>8</v>
      </c>
      <c r="C16" s="16" t="s">
        <v>11</v>
      </c>
      <c r="D16" s="170">
        <v>5.2785909999999996</v>
      </c>
      <c r="E16" s="165">
        <v>11.579556999999999</v>
      </c>
      <c r="F16" s="165">
        <v>10.305764</v>
      </c>
      <c r="G16" s="165">
        <v>5.4124499999999998</v>
      </c>
      <c r="H16" s="165">
        <v>6.2026190000000003</v>
      </c>
      <c r="I16" s="87">
        <f t="shared" si="0"/>
        <v>0.14599100222634864</v>
      </c>
      <c r="J16" s="156">
        <f t="shared" si="2"/>
        <v>7.7557962000000007</v>
      </c>
      <c r="K16" s="87">
        <f t="shared" si="1"/>
        <v>-0.20026018734220996</v>
      </c>
      <c r="L16" s="14" t="s">
        <v>469</v>
      </c>
      <c r="M16" s="16" t="s">
        <v>470</v>
      </c>
      <c r="N16" s="49"/>
    </row>
    <row r="17" spans="1:14" s="2" customFormat="1" ht="15.75" x14ac:dyDescent="0.25">
      <c r="A17" s="226" t="s">
        <v>533</v>
      </c>
      <c r="B17" s="122" t="s">
        <v>8</v>
      </c>
      <c r="C17" s="55" t="s">
        <v>11</v>
      </c>
      <c r="D17" s="221">
        <f>D12-D16</f>
        <v>1717.2025490000001</v>
      </c>
      <c r="E17" s="222">
        <f>E12-E16</f>
        <v>1565.874881</v>
      </c>
      <c r="F17" s="222">
        <f>F12-F16</f>
        <v>1293.2357240000001</v>
      </c>
      <c r="G17" s="222">
        <f>G12-G16</f>
        <v>1474.0732760000001</v>
      </c>
      <c r="H17" s="222">
        <f>H12-H16</f>
        <v>1796.1312810000002</v>
      </c>
      <c r="I17" s="89">
        <f t="shared" si="0"/>
        <v>0.21848167946842301</v>
      </c>
      <c r="J17" s="220">
        <f t="shared" si="2"/>
        <v>1569.3035422</v>
      </c>
      <c r="K17" s="89">
        <f t="shared" si="1"/>
        <v>0.14454038540052694</v>
      </c>
      <c r="L17" s="58" t="s">
        <v>469</v>
      </c>
      <c r="M17" s="55" t="s">
        <v>470</v>
      </c>
      <c r="N17" s="49"/>
    </row>
    <row r="18" spans="1:14" x14ac:dyDescent="0.25">
      <c r="A18" s="53" t="s">
        <v>80</v>
      </c>
      <c r="F18" s="12"/>
      <c r="G18" s="12"/>
      <c r="H18" s="12"/>
      <c r="I18" s="12"/>
      <c r="J18" s="12"/>
      <c r="K18" s="12"/>
    </row>
    <row r="19" spans="1:14" ht="17.25" x14ac:dyDescent="0.25">
      <c r="A19" s="81" t="s">
        <v>519</v>
      </c>
      <c r="F19" s="12"/>
      <c r="G19" s="12"/>
      <c r="H19" s="12"/>
      <c r="I19" s="12"/>
      <c r="J19" s="12"/>
      <c r="K19" s="12"/>
    </row>
    <row r="20" spans="1:14" ht="17.25" x14ac:dyDescent="0.25">
      <c r="A20" s="81" t="s">
        <v>532</v>
      </c>
    </row>
    <row r="21" spans="1:14" ht="17.25" x14ac:dyDescent="0.25">
      <c r="A21" s="49" t="s">
        <v>521</v>
      </c>
    </row>
  </sheetData>
  <mergeCells count="1">
    <mergeCell ref="A12:A15"/>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N20"/>
  <sheetViews>
    <sheetView workbookViewId="0"/>
  </sheetViews>
  <sheetFormatPr defaultRowHeight="15" x14ac:dyDescent="0.25"/>
  <cols>
    <col min="1" max="1" width="33.85546875" style="12" bestFit="1" customWidth="1"/>
    <col min="2" max="2" width="13.140625" style="12" bestFit="1" customWidth="1"/>
    <col min="3" max="3" width="15.7109375" style="12" bestFit="1" customWidth="1"/>
    <col min="4" max="5" width="10.5703125" style="12" bestFit="1" customWidth="1"/>
    <col min="6" max="6" width="10.5703125" style="11" bestFit="1" customWidth="1"/>
    <col min="7" max="7" width="10.85546875" style="11" customWidth="1"/>
    <col min="8" max="8" width="10.7109375" style="11" customWidth="1"/>
    <col min="9" max="10" width="18.28515625" style="11" customWidth="1"/>
    <col min="11" max="11" width="16.85546875" style="13" bestFit="1" customWidth="1"/>
    <col min="12" max="12" width="25.5703125" style="12" bestFit="1" customWidth="1"/>
    <col min="13" max="13" width="113.140625" style="12" bestFit="1" customWidth="1"/>
    <col min="14" max="14" width="34.7109375" customWidth="1"/>
  </cols>
  <sheetData>
    <row r="1" spans="1:14" s="1" customFormat="1" ht="30" x14ac:dyDescent="0.25">
      <c r="A1" s="33" t="s">
        <v>0</v>
      </c>
      <c r="B1" s="34" t="s">
        <v>9</v>
      </c>
      <c r="C1" s="232" t="s">
        <v>1</v>
      </c>
      <c r="D1" s="34" t="str">
        <f>+'Output Table'!C1</f>
        <v>2014-15</v>
      </c>
      <c r="E1" s="34" t="str">
        <f>+'Output Table'!D1</f>
        <v>2015-16</v>
      </c>
      <c r="F1" s="34" t="str">
        <f>+'Output Table'!E1</f>
        <v>2016-17</v>
      </c>
      <c r="G1" s="34" t="str">
        <f>+'Output Table'!F1</f>
        <v>2017-18</v>
      </c>
      <c r="H1" s="34" t="str">
        <f>+'Output Table'!G1</f>
        <v>2018-19e</v>
      </c>
      <c r="I1" s="39" t="s">
        <v>136</v>
      </c>
      <c r="J1" s="39" t="s">
        <v>428</v>
      </c>
      <c r="K1" s="41" t="s">
        <v>422</v>
      </c>
      <c r="L1" s="34" t="s">
        <v>15</v>
      </c>
      <c r="M1" s="35" t="s">
        <v>16</v>
      </c>
      <c r="N1" s="5" t="s">
        <v>17</v>
      </c>
    </row>
    <row r="2" spans="1:14" s="2" customFormat="1" ht="16.5" customHeight="1" x14ac:dyDescent="0.25">
      <c r="A2" s="36" t="s">
        <v>51</v>
      </c>
      <c r="B2" s="14"/>
      <c r="C2" s="105" t="s">
        <v>11</v>
      </c>
      <c r="D2" s="60">
        <v>753.55726917999993</v>
      </c>
      <c r="E2" s="60">
        <v>734.53268080999999</v>
      </c>
      <c r="F2" s="60">
        <v>832.55055429999993</v>
      </c>
      <c r="G2" s="60">
        <v>985.28036025999995</v>
      </c>
      <c r="H2" s="60">
        <v>1096.4453842674613</v>
      </c>
      <c r="I2" s="22">
        <f t="shared" ref="I2:I14" si="0">IF(ISBLANK(H2),"N/A",IF(ISNA(H2/G2-1),"N/A",IF(ISERROR(H2/G2-1),"N/A",H2/G2-1)))</f>
        <v>0.11282577882515255</v>
      </c>
      <c r="J2" s="151">
        <f t="shared" ref="J2:J14" si="1">IF(ISBLANK(H2),"",IF(ISNA(AVERAGE(D2:H2)),"N/A",IF(ISERROR(AVERAGE(D2:H2)),"N/A",AVERAGE(D2:H2))))</f>
        <v>880.47324976349205</v>
      </c>
      <c r="K2" s="22">
        <f t="shared" ref="K2:K14" si="2">IF(ISBLANK(H2),"",IF(ISNA(H2/AVERAGE(D2:H2)-1),"N/A",IF(ISERROR(H2/AVERAGE(D2:H2)-1),"N/A",H2/AVERAGE(D2:H2)-1)))</f>
        <v>0.24529096660458749</v>
      </c>
      <c r="L2" s="14" t="s">
        <v>485</v>
      </c>
      <c r="M2" s="169" t="s">
        <v>484</v>
      </c>
      <c r="N2" s="49" t="s">
        <v>511</v>
      </c>
    </row>
    <row r="3" spans="1:14" s="2" customFormat="1" x14ac:dyDescent="0.25">
      <c r="A3" s="36" t="s">
        <v>179</v>
      </c>
      <c r="B3" s="14"/>
      <c r="C3" s="105" t="s">
        <v>101</v>
      </c>
      <c r="D3" s="29">
        <v>25.708222980000002</v>
      </c>
      <c r="E3" s="17">
        <v>25.968193850000002</v>
      </c>
      <c r="F3" s="17">
        <v>26.928532090000001</v>
      </c>
      <c r="G3" s="69">
        <v>25.222087399999999</v>
      </c>
      <c r="H3" s="69" t="s">
        <v>93</v>
      </c>
      <c r="I3" s="70" t="str">
        <f t="shared" si="0"/>
        <v>N/A</v>
      </c>
      <c r="J3" s="154">
        <f t="shared" si="1"/>
        <v>25.956759080000005</v>
      </c>
      <c r="K3" s="71" t="str">
        <f t="shared" si="2"/>
        <v>N/A</v>
      </c>
      <c r="L3" s="14" t="s">
        <v>479</v>
      </c>
      <c r="M3" s="37" t="s">
        <v>480</v>
      </c>
    </row>
    <row r="4" spans="1:14" s="2" customFormat="1" x14ac:dyDescent="0.25">
      <c r="A4" s="36" t="s">
        <v>180</v>
      </c>
      <c r="B4" s="14"/>
      <c r="C4" s="105" t="s">
        <v>101</v>
      </c>
      <c r="D4" s="29">
        <v>4.6313141</v>
      </c>
      <c r="E4" s="17">
        <v>4.7303168700000002</v>
      </c>
      <c r="F4" s="17">
        <v>5.4128361799999993</v>
      </c>
      <c r="G4" s="69">
        <v>5.0678564599999998</v>
      </c>
      <c r="H4" s="69" t="s">
        <v>93</v>
      </c>
      <c r="I4" s="70" t="str">
        <f t="shared" si="0"/>
        <v>N/A</v>
      </c>
      <c r="J4" s="154">
        <f t="shared" si="1"/>
        <v>4.9605809025000003</v>
      </c>
      <c r="K4" s="71" t="str">
        <f t="shared" si="2"/>
        <v>N/A</v>
      </c>
      <c r="L4" s="14" t="s">
        <v>479</v>
      </c>
      <c r="M4" s="37" t="s">
        <v>480</v>
      </c>
    </row>
    <row r="5" spans="1:14" s="2" customFormat="1" x14ac:dyDescent="0.25">
      <c r="A5" s="36" t="s">
        <v>52</v>
      </c>
      <c r="B5" s="14"/>
      <c r="C5" s="106" t="s">
        <v>12</v>
      </c>
      <c r="D5" s="30">
        <v>122.119</v>
      </c>
      <c r="E5" s="21">
        <v>122.404</v>
      </c>
      <c r="F5" s="21">
        <v>119.46899999999999</v>
      </c>
      <c r="G5" s="20">
        <v>127.5213</v>
      </c>
      <c r="H5" s="20">
        <v>119.3455</v>
      </c>
      <c r="I5" s="124">
        <f t="shared" si="0"/>
        <v>-6.4113210891043271E-2</v>
      </c>
      <c r="J5" s="152">
        <f t="shared" si="1"/>
        <v>122.17175999999999</v>
      </c>
      <c r="K5" s="18">
        <f t="shared" si="2"/>
        <v>-2.3133496644396345E-2</v>
      </c>
      <c r="L5" s="14" t="s">
        <v>488</v>
      </c>
      <c r="M5" s="44" t="s">
        <v>489</v>
      </c>
      <c r="N5" s="6"/>
    </row>
    <row r="6" spans="1:14" s="2" customFormat="1" x14ac:dyDescent="0.25">
      <c r="A6" s="36" t="s">
        <v>53</v>
      </c>
      <c r="B6" s="14"/>
      <c r="C6" s="106" t="s">
        <v>12</v>
      </c>
      <c r="D6" s="30">
        <v>53.600999999999999</v>
      </c>
      <c r="E6" s="21">
        <v>42.323999999999998</v>
      </c>
      <c r="F6" s="21">
        <v>45.344999999999999</v>
      </c>
      <c r="G6" s="20">
        <v>65.419600000000003</v>
      </c>
      <c r="H6" s="20">
        <v>68.189700000000002</v>
      </c>
      <c r="I6" s="18">
        <f t="shared" si="0"/>
        <v>4.2343578988560004E-2</v>
      </c>
      <c r="J6" s="152">
        <f t="shared" si="1"/>
        <v>54.975859999999997</v>
      </c>
      <c r="K6" s="18">
        <f t="shared" si="2"/>
        <v>0.24035713129362613</v>
      </c>
      <c r="L6" s="14" t="s">
        <v>488</v>
      </c>
      <c r="M6" s="44" t="s">
        <v>489</v>
      </c>
      <c r="N6" s="6"/>
    </row>
    <row r="7" spans="1:14" s="2" customFormat="1" x14ac:dyDescent="0.25">
      <c r="A7" s="36" t="s">
        <v>95</v>
      </c>
      <c r="B7" s="14"/>
      <c r="C7" s="105" t="s">
        <v>55</v>
      </c>
      <c r="D7" s="30">
        <v>519.6610878661088</v>
      </c>
      <c r="E7" s="21">
        <v>544.29583333333335</v>
      </c>
      <c r="F7" s="21">
        <v>611.42083333333335</v>
      </c>
      <c r="G7" s="21">
        <v>615.53974895397494</v>
      </c>
      <c r="H7" s="21">
        <v>737.33898305084745</v>
      </c>
      <c r="I7" s="22">
        <f t="shared" si="0"/>
        <v>0.19787387297709613</v>
      </c>
      <c r="J7" s="151">
        <f t="shared" si="1"/>
        <v>605.6512973075196</v>
      </c>
      <c r="K7" s="22">
        <f t="shared" si="2"/>
        <v>0.21743152591063208</v>
      </c>
      <c r="L7" s="14" t="s">
        <v>488</v>
      </c>
      <c r="M7" s="44" t="s">
        <v>489</v>
      </c>
      <c r="N7" s="6"/>
    </row>
    <row r="8" spans="1:14" s="2" customFormat="1" x14ac:dyDescent="0.25">
      <c r="A8" s="36" t="s">
        <v>96</v>
      </c>
      <c r="B8" s="14"/>
      <c r="C8" s="105" t="s">
        <v>55</v>
      </c>
      <c r="D8" s="30">
        <v>307.58854781582056</v>
      </c>
      <c r="E8" s="21">
        <v>298.59834791059285</v>
      </c>
      <c r="F8" s="21">
        <v>371.92409240924093</v>
      </c>
      <c r="G8" s="21">
        <v>403.21334586466156</v>
      </c>
      <c r="H8" s="21">
        <v>432.65614035087719</v>
      </c>
      <c r="I8" s="22">
        <f t="shared" si="0"/>
        <v>7.3020386820475069E-2</v>
      </c>
      <c r="J8" s="151">
        <f t="shared" si="1"/>
        <v>362.79609487023862</v>
      </c>
      <c r="K8" s="22">
        <f t="shared" si="2"/>
        <v>0.19256008118175982</v>
      </c>
      <c r="L8" s="14" t="s">
        <v>488</v>
      </c>
      <c r="M8" s="44" t="s">
        <v>489</v>
      </c>
      <c r="N8" s="6"/>
    </row>
    <row r="9" spans="1:14" s="2" customFormat="1" x14ac:dyDescent="0.25">
      <c r="A9" s="324" t="s">
        <v>14</v>
      </c>
      <c r="B9" s="24" t="s">
        <v>8</v>
      </c>
      <c r="C9" s="105" t="s">
        <v>11</v>
      </c>
      <c r="D9" s="165">
        <v>499.748313</v>
      </c>
      <c r="E9" s="165">
        <v>463.908952</v>
      </c>
      <c r="F9" s="165">
        <v>561.29422999999997</v>
      </c>
      <c r="G9" s="165">
        <v>741.03124200000002</v>
      </c>
      <c r="H9" s="165">
        <v>927.05228799999998</v>
      </c>
      <c r="I9" s="18">
        <f t="shared" si="0"/>
        <v>0.25102996399711852</v>
      </c>
      <c r="J9" s="234">
        <f t="shared" si="1"/>
        <v>638.60700500000007</v>
      </c>
      <c r="K9" s="18">
        <f t="shared" si="2"/>
        <v>0.4516788584240472</v>
      </c>
      <c r="L9" s="14" t="s">
        <v>469</v>
      </c>
      <c r="M9" s="16" t="s">
        <v>470</v>
      </c>
    </row>
    <row r="10" spans="1:14" s="2" customFormat="1" x14ac:dyDescent="0.25">
      <c r="A10" s="324"/>
      <c r="B10" s="26" t="s">
        <v>431</v>
      </c>
      <c r="C10" s="105" t="s">
        <v>11</v>
      </c>
      <c r="D10" s="170">
        <v>98.763266000000002</v>
      </c>
      <c r="E10" s="165">
        <v>56.950896</v>
      </c>
      <c r="F10" s="165">
        <v>102.672606</v>
      </c>
      <c r="G10" s="165">
        <v>224.30800500000001</v>
      </c>
      <c r="H10" s="165">
        <v>350.99996499999997</v>
      </c>
      <c r="I10" s="18">
        <f t="shared" si="0"/>
        <v>0.5648124773790395</v>
      </c>
      <c r="J10" s="234">
        <f t="shared" si="1"/>
        <v>166.73894759999999</v>
      </c>
      <c r="K10" s="18">
        <f t="shared" si="2"/>
        <v>1.1050868441489432</v>
      </c>
      <c r="L10" s="14" t="s">
        <v>469</v>
      </c>
      <c r="M10" s="16" t="s">
        <v>470</v>
      </c>
    </row>
    <row r="11" spans="1:14" s="2" customFormat="1" x14ac:dyDescent="0.25">
      <c r="A11" s="324"/>
      <c r="B11" s="26" t="s">
        <v>443</v>
      </c>
      <c r="C11" s="105" t="s">
        <v>11</v>
      </c>
      <c r="D11" s="170">
        <v>96.619832000000002</v>
      </c>
      <c r="E11" s="165">
        <v>152.478184</v>
      </c>
      <c r="F11" s="165">
        <v>182.64807999999999</v>
      </c>
      <c r="G11" s="165">
        <v>184.131866</v>
      </c>
      <c r="H11" s="165">
        <v>237.47554500000001</v>
      </c>
      <c r="I11" s="18">
        <f t="shared" si="0"/>
        <v>0.28970367899274962</v>
      </c>
      <c r="J11" s="234">
        <f t="shared" si="1"/>
        <v>170.67070140000001</v>
      </c>
      <c r="K11" s="18">
        <f t="shared" si="2"/>
        <v>0.39142537677530154</v>
      </c>
      <c r="L11" s="14" t="s">
        <v>469</v>
      </c>
      <c r="M11" s="16" t="s">
        <v>470</v>
      </c>
    </row>
    <row r="12" spans="1:14" s="2" customFormat="1" x14ac:dyDescent="0.25">
      <c r="A12" s="324"/>
      <c r="B12" s="26" t="s">
        <v>439</v>
      </c>
      <c r="C12" s="105" t="s">
        <v>11</v>
      </c>
      <c r="D12" s="170">
        <v>34.341068</v>
      </c>
      <c r="E12" s="165">
        <v>31.690253999999999</v>
      </c>
      <c r="F12" s="165">
        <v>34.346775999999998</v>
      </c>
      <c r="G12" s="165">
        <v>46.511450000000004</v>
      </c>
      <c r="H12" s="165">
        <v>50.965282999999999</v>
      </c>
      <c r="I12" s="18">
        <f t="shared" si="0"/>
        <v>9.5757775773492204E-2</v>
      </c>
      <c r="J12" s="234">
        <f t="shared" si="1"/>
        <v>39.570966200000001</v>
      </c>
      <c r="K12" s="18">
        <f t="shared" si="2"/>
        <v>0.28794638832953234</v>
      </c>
      <c r="L12" s="14" t="s">
        <v>469</v>
      </c>
      <c r="M12" s="16" t="s">
        <v>470</v>
      </c>
    </row>
    <row r="13" spans="1:14" s="2" customFormat="1" x14ac:dyDescent="0.25">
      <c r="A13" s="36" t="s">
        <v>10</v>
      </c>
      <c r="B13" s="24" t="s">
        <v>8</v>
      </c>
      <c r="C13" s="105" t="s">
        <v>11</v>
      </c>
      <c r="D13" s="170">
        <v>1.322651</v>
      </c>
      <c r="E13" s="165">
        <v>0.233379</v>
      </c>
      <c r="F13" s="165">
        <v>0.47567799999999999</v>
      </c>
      <c r="G13" s="165">
        <v>1.019326</v>
      </c>
      <c r="H13" s="165">
        <v>0.878969</v>
      </c>
      <c r="I13" s="18">
        <f t="shared" si="0"/>
        <v>-0.13769588924446152</v>
      </c>
      <c r="J13" s="234">
        <f t="shared" si="1"/>
        <v>0.78600060000000005</v>
      </c>
      <c r="K13" s="18">
        <f t="shared" si="2"/>
        <v>0.11828031683436357</v>
      </c>
      <c r="L13" s="14" t="s">
        <v>469</v>
      </c>
      <c r="M13" s="16" t="s">
        <v>470</v>
      </c>
    </row>
    <row r="14" spans="1:14" s="2" customFormat="1" ht="15.75" x14ac:dyDescent="0.25">
      <c r="A14" s="226" t="s">
        <v>533</v>
      </c>
      <c r="B14" s="122" t="s">
        <v>8</v>
      </c>
      <c r="C14" s="233" t="s">
        <v>11</v>
      </c>
      <c r="D14" s="221">
        <f t="shared" ref="D14:H14" si="3">D9-D13</f>
        <v>498.42566199999999</v>
      </c>
      <c r="E14" s="222">
        <f t="shared" si="3"/>
        <v>463.67557299999999</v>
      </c>
      <c r="F14" s="222">
        <f t="shared" si="3"/>
        <v>560.81855199999995</v>
      </c>
      <c r="G14" s="222">
        <f t="shared" si="3"/>
        <v>740.01191600000004</v>
      </c>
      <c r="H14" s="222">
        <f t="shared" si="3"/>
        <v>926.17331899999999</v>
      </c>
      <c r="I14" s="57">
        <f t="shared" si="0"/>
        <v>0.25156541263046361</v>
      </c>
      <c r="J14" s="235">
        <f t="shared" si="1"/>
        <v>637.82100439999999</v>
      </c>
      <c r="K14" s="57">
        <f t="shared" si="2"/>
        <v>0.4520897126479142</v>
      </c>
      <c r="L14" s="58" t="s">
        <v>469</v>
      </c>
      <c r="M14" s="55" t="s">
        <v>470</v>
      </c>
    </row>
    <row r="15" spans="1:14" x14ac:dyDescent="0.25">
      <c r="A15" s="53" t="s">
        <v>80</v>
      </c>
    </row>
    <row r="16" spans="1:14" ht="17.25" x14ac:dyDescent="0.25">
      <c r="A16" s="81" t="s">
        <v>519</v>
      </c>
    </row>
    <row r="17" spans="1:1" ht="17.25" x14ac:dyDescent="0.25">
      <c r="A17" s="81" t="s">
        <v>532</v>
      </c>
    </row>
    <row r="18" spans="1:1" ht="17.25" x14ac:dyDescent="0.25">
      <c r="A18" s="49" t="s">
        <v>521</v>
      </c>
    </row>
    <row r="19" spans="1:1" x14ac:dyDescent="0.25">
      <c r="A19" s="2"/>
    </row>
    <row r="20" spans="1:1" x14ac:dyDescent="0.25">
      <c r="A20" s="2"/>
    </row>
  </sheetData>
  <mergeCells count="1">
    <mergeCell ref="A9:A1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16"/>
  <sheetViews>
    <sheetView workbookViewId="0"/>
  </sheetViews>
  <sheetFormatPr defaultRowHeight="15" x14ac:dyDescent="0.25"/>
  <cols>
    <col min="1" max="1" width="33.85546875" style="12" bestFit="1" customWidth="1"/>
    <col min="2" max="2" width="13.140625" style="12" bestFit="1" customWidth="1"/>
    <col min="3" max="3" width="15.7109375" style="12" bestFit="1" customWidth="1"/>
    <col min="4" max="5" width="10.5703125" style="12" bestFit="1" customWidth="1"/>
    <col min="6" max="6" width="10.5703125" style="11" bestFit="1" customWidth="1"/>
    <col min="7" max="7" width="10.85546875" style="11" customWidth="1"/>
    <col min="8" max="8" width="10.7109375" style="11" customWidth="1"/>
    <col min="9" max="10" width="18.28515625" style="11" customWidth="1"/>
    <col min="11" max="11" width="16.85546875" style="13" bestFit="1" customWidth="1"/>
    <col min="12" max="12" width="25.5703125" style="12" bestFit="1" customWidth="1"/>
    <col min="13" max="13" width="113.140625" style="12" bestFit="1" customWidth="1"/>
    <col min="14" max="14" width="34.7109375" customWidth="1"/>
  </cols>
  <sheetData>
    <row r="1" spans="1:14" s="1" customFormat="1" ht="30" x14ac:dyDescent="0.25">
      <c r="A1" s="33" t="s">
        <v>0</v>
      </c>
      <c r="B1" s="34" t="s">
        <v>9</v>
      </c>
      <c r="C1" s="232" t="s">
        <v>1</v>
      </c>
      <c r="D1" s="34" t="str">
        <f>+'Output Table'!C1</f>
        <v>2014-15</v>
      </c>
      <c r="E1" s="34" t="str">
        <f>+'Output Table'!D1</f>
        <v>2015-16</v>
      </c>
      <c r="F1" s="34" t="str">
        <f>+'Output Table'!E1</f>
        <v>2016-17</v>
      </c>
      <c r="G1" s="34" t="str">
        <f>+'Output Table'!F1</f>
        <v>2017-18</v>
      </c>
      <c r="H1" s="34" t="str">
        <f>+'Output Table'!G1</f>
        <v>2018-19e</v>
      </c>
      <c r="I1" s="39" t="s">
        <v>136</v>
      </c>
      <c r="J1" s="39" t="s">
        <v>428</v>
      </c>
      <c r="K1" s="41" t="s">
        <v>422</v>
      </c>
      <c r="L1" s="34" t="s">
        <v>15</v>
      </c>
      <c r="M1" s="35" t="s">
        <v>16</v>
      </c>
      <c r="N1" s="5" t="s">
        <v>17</v>
      </c>
    </row>
    <row r="2" spans="1:14" s="2" customFormat="1" ht="16.899999999999999" customHeight="1" x14ac:dyDescent="0.25">
      <c r="A2" s="36" t="s">
        <v>174</v>
      </c>
      <c r="B2" s="14"/>
      <c r="C2" s="105" t="s">
        <v>11</v>
      </c>
      <c r="D2" s="175">
        <v>6.9281969999999999</v>
      </c>
      <c r="E2" s="173">
        <v>6.9273035099999998</v>
      </c>
      <c r="F2" s="173">
        <v>12.359257289999999</v>
      </c>
      <c r="G2" s="173">
        <v>10.219749310000001</v>
      </c>
      <c r="H2" s="173">
        <v>7.7860704743190423</v>
      </c>
      <c r="I2" s="22">
        <f t="shared" ref="I2:I10" si="0">IF(ISBLANK(H2),"N/A",IF(ISNA(H2/G2-1),"N/A",IF(ISERROR(H2/G2-1),"N/A",H2/G2-1)))</f>
        <v>-0.23813488588214293</v>
      </c>
      <c r="J2" s="174">
        <f t="shared" ref="J2:J10" si="1">IF(ISBLANK(H2),"",IF(ISNA(AVERAGE(D2:H2)),"N/A",IF(ISERROR(AVERAGE(D2:H2)),"N/A",AVERAGE(D2:H2))))</f>
        <v>8.8441155168638073</v>
      </c>
      <c r="K2" s="22">
        <f t="shared" ref="K2:K10" si="2">IF(ISBLANK(H2),"",IF(ISNA(H2/AVERAGE(D2:H2)-1),"N/A",IF(ISERROR(H2/AVERAGE(D2:H2)-1),"N/A",H2/AVERAGE(D2:H2)-1)))</f>
        <v>-0.11963265750286767</v>
      </c>
      <c r="L2" s="14" t="s">
        <v>485</v>
      </c>
      <c r="M2" s="169" t="s">
        <v>484</v>
      </c>
      <c r="N2" s="49" t="s">
        <v>511</v>
      </c>
    </row>
    <row r="3" spans="1:14" s="2" customFormat="1" ht="17.25" x14ac:dyDescent="0.25">
      <c r="A3" s="36" t="s">
        <v>583</v>
      </c>
      <c r="B3" s="14"/>
      <c r="C3" s="106" t="s">
        <v>467</v>
      </c>
      <c r="D3" s="30">
        <v>1569</v>
      </c>
      <c r="E3" s="21">
        <v>1456</v>
      </c>
      <c r="F3" s="21">
        <v>1385</v>
      </c>
      <c r="G3" s="20">
        <v>1438.0000000000002</v>
      </c>
      <c r="H3" s="20">
        <v>884</v>
      </c>
      <c r="I3" s="18">
        <f t="shared" si="0"/>
        <v>-0.38525730180806683</v>
      </c>
      <c r="J3" s="152">
        <f t="shared" si="1"/>
        <v>1346.4</v>
      </c>
      <c r="K3" s="18">
        <f t="shared" si="2"/>
        <v>-0.34343434343434343</v>
      </c>
      <c r="L3" s="14" t="s">
        <v>488</v>
      </c>
      <c r="M3" s="44" t="s">
        <v>489</v>
      </c>
      <c r="N3" s="6"/>
    </row>
    <row r="4" spans="1:14" s="2" customFormat="1" x14ac:dyDescent="0.25">
      <c r="A4" s="36" t="s">
        <v>429</v>
      </c>
      <c r="B4" s="14"/>
      <c r="C4" s="105" t="s">
        <v>55</v>
      </c>
      <c r="D4" s="30">
        <v>373.46938775510205</v>
      </c>
      <c r="E4" s="21">
        <v>499.9591836734694</v>
      </c>
      <c r="F4" s="21">
        <v>615.59183673469386</v>
      </c>
      <c r="G4" s="21">
        <v>498.20833333333331</v>
      </c>
      <c r="H4" s="21">
        <v>620.58333333333337</v>
      </c>
      <c r="I4" s="22">
        <f t="shared" si="0"/>
        <v>0.2456301747930083</v>
      </c>
      <c r="J4" s="151">
        <f t="shared" si="1"/>
        <v>521.56241496598636</v>
      </c>
      <c r="K4" s="22">
        <f t="shared" si="2"/>
        <v>0.18985439810459637</v>
      </c>
      <c r="L4" s="14" t="s">
        <v>488</v>
      </c>
      <c r="M4" s="44" t="s">
        <v>489</v>
      </c>
      <c r="N4" s="6"/>
    </row>
    <row r="5" spans="1:14" s="2" customFormat="1" x14ac:dyDescent="0.25">
      <c r="A5" s="324" t="s">
        <v>14</v>
      </c>
      <c r="B5" s="24" t="s">
        <v>8</v>
      </c>
      <c r="C5" s="105" t="s">
        <v>11</v>
      </c>
      <c r="D5" s="170">
        <v>5.5319710000000004</v>
      </c>
      <c r="E5" s="165">
        <v>10.81085</v>
      </c>
      <c r="F5" s="165">
        <v>5.1000430000000003</v>
      </c>
      <c r="G5" s="165">
        <v>11.922556999999999</v>
      </c>
      <c r="H5" s="165">
        <v>5.7913579999999998</v>
      </c>
      <c r="I5" s="18">
        <f t="shared" si="0"/>
        <v>-0.51425201825413791</v>
      </c>
      <c r="J5" s="234">
        <f t="shared" si="1"/>
        <v>7.8313557999999999</v>
      </c>
      <c r="K5" s="18">
        <f t="shared" si="2"/>
        <v>-0.26049101229700233</v>
      </c>
      <c r="L5" s="14" t="s">
        <v>469</v>
      </c>
      <c r="M5" s="16" t="s">
        <v>470</v>
      </c>
    </row>
    <row r="6" spans="1:14" s="2" customFormat="1" x14ac:dyDescent="0.25">
      <c r="A6" s="324"/>
      <c r="B6" s="26" t="s">
        <v>443</v>
      </c>
      <c r="C6" s="105" t="s">
        <v>11</v>
      </c>
      <c r="D6" s="170">
        <v>0</v>
      </c>
      <c r="E6" s="165">
        <v>6.0374230000000004</v>
      </c>
      <c r="F6" s="165">
        <v>2.2591329999999998</v>
      </c>
      <c r="G6" s="165">
        <v>7.439406</v>
      </c>
      <c r="H6" s="165">
        <v>0.12424499999999999</v>
      </c>
      <c r="I6" s="18">
        <f t="shared" si="0"/>
        <v>-0.98329906984509252</v>
      </c>
      <c r="J6" s="234">
        <f t="shared" si="1"/>
        <v>3.1720414000000003</v>
      </c>
      <c r="K6" s="18">
        <f t="shared" si="2"/>
        <v>-0.96083121739836053</v>
      </c>
      <c r="L6" s="14" t="s">
        <v>469</v>
      </c>
      <c r="M6" s="16" t="s">
        <v>470</v>
      </c>
    </row>
    <row r="7" spans="1:14" s="2" customFormat="1" x14ac:dyDescent="0.25">
      <c r="A7" s="324"/>
      <c r="B7" s="26" t="s">
        <v>496</v>
      </c>
      <c r="C7" s="105" t="s">
        <v>11</v>
      </c>
      <c r="D7" s="170">
        <v>0.55402499999999999</v>
      </c>
      <c r="E7" s="165">
        <v>0.710646</v>
      </c>
      <c r="F7" s="165">
        <v>0</v>
      </c>
      <c r="G7" s="165">
        <v>1.144795</v>
      </c>
      <c r="H7" s="165">
        <v>3.5063279999999999</v>
      </c>
      <c r="I7" s="18">
        <f t="shared" si="0"/>
        <v>2.0628435658786071</v>
      </c>
      <c r="J7" s="234">
        <f t="shared" si="1"/>
        <v>1.1831588</v>
      </c>
      <c r="K7" s="18">
        <f t="shared" si="2"/>
        <v>1.9635311844868162</v>
      </c>
      <c r="L7" s="14" t="s">
        <v>469</v>
      </c>
      <c r="M7" s="16" t="s">
        <v>470</v>
      </c>
    </row>
    <row r="8" spans="1:14" s="2" customFormat="1" x14ac:dyDescent="0.25">
      <c r="A8" s="324"/>
      <c r="B8" s="26" t="s">
        <v>497</v>
      </c>
      <c r="C8" s="105" t="s">
        <v>11</v>
      </c>
      <c r="D8" s="170">
        <v>4.2682000000000002</v>
      </c>
      <c r="E8" s="165">
        <v>1.9837199999999999</v>
      </c>
      <c r="F8" s="165">
        <v>2.1599200000000001</v>
      </c>
      <c r="G8" s="165">
        <v>1.1837169999999999</v>
      </c>
      <c r="H8" s="165">
        <v>0.53577900000000001</v>
      </c>
      <c r="I8" s="18">
        <f t="shared" si="0"/>
        <v>-0.54737576633604146</v>
      </c>
      <c r="J8" s="234">
        <f t="shared" si="1"/>
        <v>2.0262671999999999</v>
      </c>
      <c r="K8" s="18">
        <f t="shared" si="2"/>
        <v>-0.73558324390781227</v>
      </c>
      <c r="L8" s="14" t="s">
        <v>469</v>
      </c>
      <c r="M8" s="16" t="s">
        <v>470</v>
      </c>
    </row>
    <row r="9" spans="1:14" s="2" customFormat="1" x14ac:dyDescent="0.25">
      <c r="A9" s="36" t="s">
        <v>10</v>
      </c>
      <c r="B9" s="24" t="s">
        <v>8</v>
      </c>
      <c r="C9" s="105" t="s">
        <v>11</v>
      </c>
      <c r="D9" s="170">
        <v>1.2266000000000001E-2</v>
      </c>
      <c r="E9" s="165">
        <v>8.1499999999999993E-3</v>
      </c>
      <c r="F9" s="165">
        <v>1.7403999999999999E-2</v>
      </c>
      <c r="G9" s="165">
        <v>0</v>
      </c>
      <c r="H9" s="165">
        <v>0</v>
      </c>
      <c r="I9" s="18" t="str">
        <f t="shared" si="0"/>
        <v>N/A</v>
      </c>
      <c r="J9" s="234">
        <f t="shared" si="1"/>
        <v>7.5639999999999995E-3</v>
      </c>
      <c r="K9" s="18">
        <f t="shared" si="2"/>
        <v>-1</v>
      </c>
      <c r="L9" s="14" t="s">
        <v>469</v>
      </c>
      <c r="M9" s="16" t="s">
        <v>470</v>
      </c>
    </row>
    <row r="10" spans="1:14" s="2" customFormat="1" ht="15.75" x14ac:dyDescent="0.25">
      <c r="A10" s="226" t="s">
        <v>533</v>
      </c>
      <c r="B10" s="122" t="s">
        <v>8</v>
      </c>
      <c r="C10" s="233" t="s">
        <v>11</v>
      </c>
      <c r="D10" s="221">
        <f t="shared" ref="D10:H10" si="3">D5-D9</f>
        <v>5.5197050000000001</v>
      </c>
      <c r="E10" s="222">
        <f t="shared" si="3"/>
        <v>10.8027</v>
      </c>
      <c r="F10" s="222">
        <f t="shared" si="3"/>
        <v>5.0826390000000004</v>
      </c>
      <c r="G10" s="222">
        <f t="shared" si="3"/>
        <v>11.922556999999999</v>
      </c>
      <c r="H10" s="222">
        <f t="shared" si="3"/>
        <v>5.7913579999999998</v>
      </c>
      <c r="I10" s="57">
        <f t="shared" si="0"/>
        <v>-0.51425201825413791</v>
      </c>
      <c r="J10" s="235">
        <f t="shared" si="1"/>
        <v>7.8237918000000004</v>
      </c>
      <c r="K10" s="57">
        <f t="shared" si="2"/>
        <v>-0.25977605896925837</v>
      </c>
      <c r="L10" s="58" t="s">
        <v>469</v>
      </c>
      <c r="M10" s="55" t="s">
        <v>470</v>
      </c>
    </row>
    <row r="11" spans="1:14" x14ac:dyDescent="0.25">
      <c r="A11" s="53" t="s">
        <v>80</v>
      </c>
    </row>
    <row r="12" spans="1:14" ht="17.25" x14ac:dyDescent="0.25">
      <c r="A12" s="81" t="s">
        <v>519</v>
      </c>
    </row>
    <row r="13" spans="1:14" ht="17.25" x14ac:dyDescent="0.25">
      <c r="A13" s="81" t="s">
        <v>532</v>
      </c>
    </row>
    <row r="14" spans="1:14" ht="17.25" x14ac:dyDescent="0.25">
      <c r="A14" s="49" t="s">
        <v>521</v>
      </c>
    </row>
    <row r="15" spans="1:14" ht="17.25" x14ac:dyDescent="0.25">
      <c r="A15" s="2" t="s">
        <v>142</v>
      </c>
    </row>
    <row r="16" spans="1:14" ht="17.25" x14ac:dyDescent="0.25">
      <c r="A16" s="2" t="s">
        <v>520</v>
      </c>
    </row>
  </sheetData>
  <mergeCells count="1">
    <mergeCell ref="A5:A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N15"/>
  <sheetViews>
    <sheetView workbookViewId="0"/>
  </sheetViews>
  <sheetFormatPr defaultRowHeight="15" x14ac:dyDescent="0.25"/>
  <cols>
    <col min="1" max="1" width="33.85546875" style="12" bestFit="1" customWidth="1"/>
    <col min="2" max="2" width="12.5703125" style="12" bestFit="1" customWidth="1"/>
    <col min="3" max="3" width="15.7109375" style="12" bestFit="1" customWidth="1"/>
    <col min="4" max="5" width="11.5703125" style="12" bestFit="1" customWidth="1"/>
    <col min="6" max="7" width="11.5703125" style="11" bestFit="1" customWidth="1"/>
    <col min="8" max="8" width="10.7109375" style="11" customWidth="1"/>
    <col min="9" max="10" width="17" style="11" customWidth="1"/>
    <col min="11" max="11" width="16.85546875" style="13" bestFit="1" customWidth="1"/>
    <col min="12" max="12" width="25.5703125" style="12" bestFit="1" customWidth="1"/>
    <col min="13" max="13" width="124.5703125" style="12" bestFit="1" customWidth="1"/>
    <col min="14" max="14" width="34.7109375" style="12" customWidth="1"/>
  </cols>
  <sheetData>
    <row r="1" spans="1:14" s="1" customFormat="1" ht="30" x14ac:dyDescent="0.25">
      <c r="A1" s="33" t="s">
        <v>0</v>
      </c>
      <c r="B1" s="34" t="s">
        <v>9</v>
      </c>
      <c r="C1" s="35" t="s">
        <v>1</v>
      </c>
      <c r="D1" s="34" t="str">
        <f>+'Output Table'!C1</f>
        <v>2014-15</v>
      </c>
      <c r="E1" s="34" t="str">
        <f>+'Output Table'!D1</f>
        <v>2015-16</v>
      </c>
      <c r="F1" s="34" t="str">
        <f>+'Output Table'!E1</f>
        <v>2016-17</v>
      </c>
      <c r="G1" s="34" t="str">
        <f>+'Output Table'!F1</f>
        <v>2017-18</v>
      </c>
      <c r="H1" s="34" t="str">
        <f>+'Output Table'!G1</f>
        <v>2018-19e</v>
      </c>
      <c r="I1" s="39" t="s">
        <v>136</v>
      </c>
      <c r="J1" s="39" t="s">
        <v>428</v>
      </c>
      <c r="K1" s="41" t="s">
        <v>422</v>
      </c>
      <c r="L1" s="34" t="s">
        <v>15</v>
      </c>
      <c r="M1" s="35" t="s">
        <v>16</v>
      </c>
      <c r="N1" s="10" t="s">
        <v>17</v>
      </c>
    </row>
    <row r="2" spans="1:14" s="2" customFormat="1" ht="17.25" customHeight="1" x14ac:dyDescent="0.25">
      <c r="A2" s="36" t="s">
        <v>5</v>
      </c>
      <c r="B2" s="14"/>
      <c r="C2" s="16" t="s">
        <v>11</v>
      </c>
      <c r="D2" s="60">
        <v>193.80555749999999</v>
      </c>
      <c r="E2" s="60">
        <v>212.35558723</v>
      </c>
      <c r="F2" s="60">
        <v>224.42336659999998</v>
      </c>
      <c r="G2" s="60">
        <v>200.61968869</v>
      </c>
      <c r="H2" s="60">
        <v>193.76167734600003</v>
      </c>
      <c r="I2" s="22">
        <f t="shared" ref="I2:I11" si="0">IF(ISBLANK(H2),"N/A",IF(ISNA(H2/G2-1),"N/A",IF(ISERROR(H2/G2-1),"N/A",H2/G2-1)))</f>
        <v>-3.4184139098117461E-2</v>
      </c>
      <c r="J2" s="141">
        <f>IF(ISBLANK(H2),"",IF(ISNA(AVERAGE(D2:H2)),"N/A",IF(ISERROR(AVERAGE(D2:H2)),"N/A",AVERAGE(D2:H2))))</f>
        <v>204.99317547319998</v>
      </c>
      <c r="K2" s="22">
        <f t="shared" ref="K2:K11" si="1">IF(ISBLANK(H2),"",IF(ISNA(H2/AVERAGE(D2:H2)-1),"N/A",IF(ISERROR(H2/AVERAGE(D2:H2)-1),"N/A",H2/AVERAGE(D2:H2)-1)))</f>
        <v>-5.4789619709404991E-2</v>
      </c>
      <c r="L2" s="14" t="s">
        <v>485</v>
      </c>
      <c r="M2" s="169" t="s">
        <v>484</v>
      </c>
      <c r="N2" s="49"/>
    </row>
    <row r="3" spans="1:14" s="2" customFormat="1" x14ac:dyDescent="0.25">
      <c r="A3" s="36" t="s">
        <v>185</v>
      </c>
      <c r="B3" s="14"/>
      <c r="C3" s="15" t="s">
        <v>40</v>
      </c>
      <c r="D3" s="17">
        <v>404.51855</v>
      </c>
      <c r="E3" s="17">
        <v>488.25164000000001</v>
      </c>
      <c r="F3" s="133">
        <v>512.38887999999997</v>
      </c>
      <c r="G3" s="133">
        <v>462.55353000000002</v>
      </c>
      <c r="H3" s="69" t="s">
        <v>93</v>
      </c>
      <c r="I3" s="70" t="str">
        <f>IF(ISBLANK(H3),"N/A",IF(ISNA(H3/G3-1),"N/A",IF(ISERROR(H3/G3-1),"N/A",H3/G3-1)))</f>
        <v>N/A</v>
      </c>
      <c r="J3" s="154">
        <f t="shared" ref="J3:J11" si="2">IF(ISBLANK(H3),"",IF(ISNA(AVERAGE(D3:H3)),"N/A",IF(ISERROR(AVERAGE(D3:H3)),"N/A",AVERAGE(D3:H3))))</f>
        <v>466.92814999999996</v>
      </c>
      <c r="K3" s="71" t="str">
        <f t="shared" si="1"/>
        <v>N/A</v>
      </c>
      <c r="L3" s="14" t="s">
        <v>479</v>
      </c>
      <c r="M3" s="37" t="s">
        <v>480</v>
      </c>
      <c r="N3" s="49"/>
    </row>
    <row r="4" spans="1:14" s="2" customFormat="1" x14ac:dyDescent="0.25">
      <c r="A4" s="36" t="s">
        <v>38</v>
      </c>
      <c r="B4" s="14"/>
      <c r="C4" s="15" t="s">
        <v>12</v>
      </c>
      <c r="D4" s="21">
        <v>61.484000000000002</v>
      </c>
      <c r="E4" s="21">
        <v>57.802999999999997</v>
      </c>
      <c r="F4" s="21">
        <v>65.305000000000007</v>
      </c>
      <c r="G4" s="21">
        <v>66.924999999999997</v>
      </c>
      <c r="H4" s="21">
        <v>63.621000000000002</v>
      </c>
      <c r="I4" s="18" t="str">
        <f>IF(ISBLANK(#REF!),"N/A",IF(ISNA(#REF!/H4-1),"N/A",IF(ISERROR(#REF!/H4-1),"N/A",#REF!/H4-1)))</f>
        <v>N/A</v>
      </c>
      <c r="J4" s="152">
        <f>IF(ISBLANK(#REF!),"",IF(ISNA(AVERAGE(E4:H4)),"N/A",IF(ISERROR(AVERAGE(E4:H4)),"N/A",AVERAGE(E4:H4))))</f>
        <v>63.413500000000006</v>
      </c>
      <c r="K4" s="18" t="str">
        <f>IF(ISBLANK(#REF!),"",IF(ISNA(#REF!/AVERAGE(E4:H4)-1),"N/A",IF(ISERROR(#REF!/AVERAGE(E4:H4)-1),"N/A",#REF!/AVERAGE(E4:H4)-1)))</f>
        <v>N/A</v>
      </c>
      <c r="L4" s="43" t="s">
        <v>503</v>
      </c>
      <c r="M4" s="37" t="s">
        <v>504</v>
      </c>
      <c r="N4" s="27"/>
    </row>
    <row r="5" spans="1:14" s="2" customFormat="1" x14ac:dyDescent="0.25">
      <c r="A5" s="36" t="s">
        <v>48</v>
      </c>
      <c r="B5" s="14"/>
      <c r="C5" s="16" t="s">
        <v>39</v>
      </c>
      <c r="D5" s="21">
        <v>309.577</v>
      </c>
      <c r="E5" s="21">
        <v>358.30200000000002</v>
      </c>
      <c r="F5" s="21">
        <v>337.916</v>
      </c>
      <c r="G5" s="21">
        <v>274.49</v>
      </c>
      <c r="H5" s="21">
        <v>298.29199999999997</v>
      </c>
      <c r="I5" s="22">
        <f t="shared" si="0"/>
        <v>8.6713541476920675E-2</v>
      </c>
      <c r="J5" s="151">
        <f t="shared" si="2"/>
        <v>315.71539999999999</v>
      </c>
      <c r="K5" s="22">
        <f t="shared" si="1"/>
        <v>-5.5187045041198535E-2</v>
      </c>
      <c r="L5" s="43" t="s">
        <v>473</v>
      </c>
      <c r="M5" s="44" t="s">
        <v>474</v>
      </c>
      <c r="N5" s="23"/>
    </row>
    <row r="6" spans="1:14" s="2" customFormat="1" x14ac:dyDescent="0.25">
      <c r="A6" s="324" t="s">
        <v>14</v>
      </c>
      <c r="B6" s="24" t="s">
        <v>8</v>
      </c>
      <c r="C6" s="16" t="s">
        <v>11</v>
      </c>
      <c r="D6" s="165">
        <v>18.204432000000001</v>
      </c>
      <c r="E6" s="165">
        <v>24.979061999999999</v>
      </c>
      <c r="F6" s="165">
        <v>29.385045999999999</v>
      </c>
      <c r="G6" s="165">
        <v>31.189703000000002</v>
      </c>
      <c r="H6" s="165">
        <v>30.079008000000002</v>
      </c>
      <c r="I6" s="18">
        <f t="shared" si="0"/>
        <v>-3.5610951473311503E-2</v>
      </c>
      <c r="J6" s="234">
        <f t="shared" si="2"/>
        <v>26.767450199999995</v>
      </c>
      <c r="K6" s="18">
        <f t="shared" si="1"/>
        <v>0.12371584798913737</v>
      </c>
      <c r="L6" s="14" t="s">
        <v>469</v>
      </c>
      <c r="M6" s="16" t="s">
        <v>470</v>
      </c>
      <c r="N6" s="49"/>
    </row>
    <row r="7" spans="1:14" s="2" customFormat="1" x14ac:dyDescent="0.25">
      <c r="A7" s="324"/>
      <c r="B7" s="26" t="s">
        <v>441</v>
      </c>
      <c r="C7" s="16" t="s">
        <v>11</v>
      </c>
      <c r="D7" s="165">
        <v>5.0836690000000004</v>
      </c>
      <c r="E7" s="165">
        <v>8.2613350000000008</v>
      </c>
      <c r="F7" s="165">
        <v>12.298526000000001</v>
      </c>
      <c r="G7" s="165">
        <v>11.379702999999999</v>
      </c>
      <c r="H7" s="165">
        <v>9.4225779999999997</v>
      </c>
      <c r="I7" s="18">
        <f t="shared" si="0"/>
        <v>-0.17198383824252705</v>
      </c>
      <c r="J7" s="234">
        <f t="shared" si="2"/>
        <v>9.2891622000000016</v>
      </c>
      <c r="K7" s="18">
        <f t="shared" si="1"/>
        <v>1.4362522381189402E-2</v>
      </c>
      <c r="L7" s="14" t="s">
        <v>469</v>
      </c>
      <c r="M7" s="16" t="s">
        <v>470</v>
      </c>
      <c r="N7" s="49"/>
    </row>
    <row r="8" spans="1:14" s="2" customFormat="1" x14ac:dyDescent="0.25">
      <c r="A8" s="324"/>
      <c r="B8" s="26" t="s">
        <v>435</v>
      </c>
      <c r="C8" s="16" t="s">
        <v>11</v>
      </c>
      <c r="D8" s="165">
        <v>4.2100860000000004</v>
      </c>
      <c r="E8" s="165">
        <v>7.6504779999999997</v>
      </c>
      <c r="F8" s="165">
        <v>4.751341</v>
      </c>
      <c r="G8" s="165">
        <v>6.3201929999999997</v>
      </c>
      <c r="H8" s="165">
        <v>4.8186689999999999</v>
      </c>
      <c r="I8" s="18">
        <f t="shared" si="0"/>
        <v>-0.23757565631302713</v>
      </c>
      <c r="J8" s="234">
        <f t="shared" si="2"/>
        <v>5.5501534000000001</v>
      </c>
      <c r="K8" s="18">
        <f t="shared" si="1"/>
        <v>-0.13179534821506023</v>
      </c>
      <c r="L8" s="14" t="s">
        <v>469</v>
      </c>
      <c r="M8" s="16" t="s">
        <v>470</v>
      </c>
      <c r="N8" s="49"/>
    </row>
    <row r="9" spans="1:14" s="2" customFormat="1" x14ac:dyDescent="0.25">
      <c r="A9" s="324"/>
      <c r="B9" s="26" t="s">
        <v>434</v>
      </c>
      <c r="C9" s="16" t="s">
        <v>11</v>
      </c>
      <c r="D9" s="165">
        <v>2.4957370000000001</v>
      </c>
      <c r="E9" s="165">
        <v>1.85453</v>
      </c>
      <c r="F9" s="165">
        <v>2.8119320000000001</v>
      </c>
      <c r="G9" s="165">
        <v>4.356617</v>
      </c>
      <c r="H9" s="165">
        <v>3.2919200000000002</v>
      </c>
      <c r="I9" s="18">
        <f t="shared" si="0"/>
        <v>-0.24438618313246263</v>
      </c>
      <c r="J9" s="234">
        <f t="shared" si="2"/>
        <v>2.9621472000000004</v>
      </c>
      <c r="K9" s="18">
        <f t="shared" si="1"/>
        <v>0.11132897109232109</v>
      </c>
      <c r="L9" s="14" t="s">
        <v>469</v>
      </c>
      <c r="M9" s="16" t="s">
        <v>470</v>
      </c>
      <c r="N9" s="49"/>
    </row>
    <row r="10" spans="1:14" s="2" customFormat="1" x14ac:dyDescent="0.25">
      <c r="A10" s="36" t="s">
        <v>10</v>
      </c>
      <c r="B10" s="24" t="s">
        <v>8</v>
      </c>
      <c r="C10" s="16" t="s">
        <v>11</v>
      </c>
      <c r="D10" s="165">
        <v>172.98684600000001</v>
      </c>
      <c r="E10" s="165">
        <v>151.79041599999999</v>
      </c>
      <c r="F10" s="165">
        <v>169.791191</v>
      </c>
      <c r="G10" s="165">
        <v>154.54380499999999</v>
      </c>
      <c r="H10" s="165">
        <v>168.35336899999999</v>
      </c>
      <c r="I10" s="18">
        <f t="shared" si="0"/>
        <v>8.9356956107040197E-2</v>
      </c>
      <c r="J10" s="234">
        <f t="shared" si="2"/>
        <v>163.4931254</v>
      </c>
      <c r="K10" s="18">
        <f t="shared" si="1"/>
        <v>2.972751048772837E-2</v>
      </c>
      <c r="L10" s="14" t="s">
        <v>469</v>
      </c>
      <c r="M10" s="16" t="s">
        <v>470</v>
      </c>
      <c r="N10" s="49"/>
    </row>
    <row r="11" spans="1:14" s="2" customFormat="1" ht="15.75" x14ac:dyDescent="0.25">
      <c r="A11" s="226" t="s">
        <v>533</v>
      </c>
      <c r="B11" s="122" t="s">
        <v>8</v>
      </c>
      <c r="C11" s="55" t="s">
        <v>11</v>
      </c>
      <c r="D11" s="222">
        <f t="shared" ref="D11:H11" si="3">D6-D10</f>
        <v>-154.78241400000002</v>
      </c>
      <c r="E11" s="222">
        <f t="shared" si="3"/>
        <v>-126.81135399999999</v>
      </c>
      <c r="F11" s="222">
        <f t="shared" si="3"/>
        <v>-140.40614500000001</v>
      </c>
      <c r="G11" s="222">
        <f t="shared" si="3"/>
        <v>-123.35410199999998</v>
      </c>
      <c r="H11" s="222">
        <f t="shared" si="3"/>
        <v>-138.274361</v>
      </c>
      <c r="I11" s="57">
        <f t="shared" si="0"/>
        <v>0.12095470485448478</v>
      </c>
      <c r="J11" s="235">
        <f t="shared" si="2"/>
        <v>-136.72567520000001</v>
      </c>
      <c r="K11" s="57">
        <f t="shared" si="1"/>
        <v>1.1326956679750033E-2</v>
      </c>
      <c r="L11" s="58" t="s">
        <v>469</v>
      </c>
      <c r="M11" s="55" t="s">
        <v>470</v>
      </c>
      <c r="N11" s="49"/>
    </row>
    <row r="12" spans="1:14" x14ac:dyDescent="0.25">
      <c r="A12" s="53" t="s">
        <v>80</v>
      </c>
      <c r="F12" s="12"/>
      <c r="G12" s="12"/>
      <c r="H12" s="12"/>
      <c r="I12" s="12"/>
      <c r="J12" s="12"/>
      <c r="K12" s="12"/>
    </row>
    <row r="13" spans="1:14" ht="17.25" x14ac:dyDescent="0.25">
      <c r="A13" s="81" t="s">
        <v>519</v>
      </c>
      <c r="F13" s="12"/>
      <c r="G13" s="12"/>
      <c r="H13" s="12"/>
      <c r="I13" s="12"/>
      <c r="J13" s="12"/>
      <c r="K13" s="12"/>
    </row>
    <row r="14" spans="1:14" ht="17.25" x14ac:dyDescent="0.25">
      <c r="A14" s="81" t="s">
        <v>532</v>
      </c>
    </row>
    <row r="15" spans="1:14" ht="17.25" x14ac:dyDescent="0.25">
      <c r="A15" s="49" t="s">
        <v>521</v>
      </c>
    </row>
  </sheetData>
  <mergeCells count="1">
    <mergeCell ref="A6:A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00"/>
  </sheetPr>
  <dimension ref="A1:N15"/>
  <sheetViews>
    <sheetView workbookViewId="0"/>
  </sheetViews>
  <sheetFormatPr defaultRowHeight="15" x14ac:dyDescent="0.25"/>
  <cols>
    <col min="1" max="1" width="33.85546875" style="12" bestFit="1" customWidth="1"/>
    <col min="2" max="2" width="15.5703125" style="12" bestFit="1" customWidth="1"/>
    <col min="3" max="3" width="15.7109375" style="12" bestFit="1" customWidth="1"/>
    <col min="4" max="5" width="10.5703125" style="12" bestFit="1" customWidth="1"/>
    <col min="6" max="6" width="10.5703125" style="11" bestFit="1" customWidth="1"/>
    <col min="7" max="7" width="10.7109375" style="11" bestFit="1" customWidth="1"/>
    <col min="8" max="8" width="10.7109375" style="11" customWidth="1"/>
    <col min="9" max="10" width="18.140625" style="11" customWidth="1"/>
    <col min="11" max="11" width="15.42578125" style="13" customWidth="1"/>
    <col min="12" max="12" width="25.5703125" style="12" bestFit="1" customWidth="1"/>
    <col min="13" max="13" width="125.140625" style="12" bestFit="1" customWidth="1"/>
    <col min="14" max="14" width="34.7109375" style="12" customWidth="1"/>
  </cols>
  <sheetData>
    <row r="1" spans="1:14" ht="30" x14ac:dyDescent="0.25">
      <c r="A1" s="33" t="s">
        <v>0</v>
      </c>
      <c r="B1" s="34" t="s">
        <v>9</v>
      </c>
      <c r="C1" s="35" t="s">
        <v>1</v>
      </c>
      <c r="D1" s="34" t="str">
        <f>+'Output Table'!C1</f>
        <v>2014-15</v>
      </c>
      <c r="E1" s="34" t="str">
        <f>+'Output Table'!D1</f>
        <v>2015-16</v>
      </c>
      <c r="F1" s="34" t="str">
        <f>+'Output Table'!E1</f>
        <v>2016-17</v>
      </c>
      <c r="G1" s="34" t="str">
        <f>+'Output Table'!F1</f>
        <v>2017-18</v>
      </c>
      <c r="H1" s="34" t="str">
        <f>+'Output Table'!G1</f>
        <v>2018-19e</v>
      </c>
      <c r="I1" s="39" t="s">
        <v>136</v>
      </c>
      <c r="J1" s="39" t="s">
        <v>428</v>
      </c>
      <c r="K1" s="41" t="s">
        <v>422</v>
      </c>
      <c r="L1" s="34" t="s">
        <v>15</v>
      </c>
      <c r="M1" s="35" t="s">
        <v>16</v>
      </c>
      <c r="N1" s="10" t="s">
        <v>17</v>
      </c>
    </row>
    <row r="2" spans="1:14" s="2" customFormat="1" ht="18" customHeight="1" x14ac:dyDescent="0.25">
      <c r="A2" s="36" t="s">
        <v>5</v>
      </c>
      <c r="B2" s="14"/>
      <c r="C2" s="16" t="s">
        <v>11</v>
      </c>
      <c r="D2" s="29">
        <v>876.72988754999994</v>
      </c>
      <c r="E2" s="60">
        <v>874.99066541000002</v>
      </c>
      <c r="F2" s="60">
        <v>771.1375458</v>
      </c>
      <c r="G2" s="60">
        <v>782.76175211999998</v>
      </c>
      <c r="H2" s="60">
        <v>785.13399987000003</v>
      </c>
      <c r="I2" s="88">
        <f t="shared" ref="I2:I11" si="0">IF(ISBLANK(H2),"N/A",IF(ISNA(H2/G2-1),"N/A",IF(ISERROR(H2/G2-1),"N/A",H2/G2-1)))</f>
        <v>3.0306127548709316E-3</v>
      </c>
      <c r="J2" s="141">
        <f>IF(ISBLANK(H2),"",IF(ISNA(AVERAGE(D2:H2)),"N/A",IF(ISERROR(AVERAGE(D2:H2)),"N/A",AVERAGE(D2:H2))))</f>
        <v>818.15077014999997</v>
      </c>
      <c r="K2" s="88">
        <f t="shared" ref="K2:K11" si="1">IF(ISBLANK(H2),"",IF(ISNA(H2/AVERAGE(D2:H2)-1),"N/A",IF(ISERROR(H2/AVERAGE(D2:H2)-1),"N/A",H2/AVERAGE(D2:H2)-1)))</f>
        <v>-4.0355361731122752E-2</v>
      </c>
      <c r="L2" s="14" t="s">
        <v>485</v>
      </c>
      <c r="M2" s="169" t="s">
        <v>484</v>
      </c>
      <c r="N2" s="49"/>
    </row>
    <row r="3" spans="1:14" s="2" customFormat="1" x14ac:dyDescent="0.25">
      <c r="A3" s="36" t="s">
        <v>102</v>
      </c>
      <c r="B3" s="14"/>
      <c r="C3" s="16" t="s">
        <v>101</v>
      </c>
      <c r="D3" s="17">
        <v>30.65852357</v>
      </c>
      <c r="E3" s="17">
        <v>30.10790287</v>
      </c>
      <c r="F3" s="17">
        <v>32.877467660000001</v>
      </c>
      <c r="G3" s="133">
        <v>39.370670390000001</v>
      </c>
      <c r="H3" s="69" t="s">
        <v>93</v>
      </c>
      <c r="I3" s="71" t="str">
        <f t="shared" si="0"/>
        <v>N/A</v>
      </c>
      <c r="J3" s="142">
        <f t="shared" ref="J3:J11" si="2">IF(ISBLANK(H3),"",IF(ISNA(AVERAGE(D3:H3)),"N/A",IF(ISERROR(AVERAGE(D3:H3)),"N/A",AVERAGE(D3:H3))))</f>
        <v>33.253641122499999</v>
      </c>
      <c r="K3" s="71" t="str">
        <f t="shared" si="1"/>
        <v>N/A</v>
      </c>
      <c r="L3" s="14" t="s">
        <v>479</v>
      </c>
      <c r="M3" s="37" t="s">
        <v>480</v>
      </c>
      <c r="N3" s="49"/>
    </row>
    <row r="4" spans="1:14" s="2" customFormat="1" x14ac:dyDescent="0.25">
      <c r="A4" s="36" t="s">
        <v>49</v>
      </c>
      <c r="B4" s="14"/>
      <c r="C4" s="15" t="s">
        <v>12</v>
      </c>
      <c r="D4" s="30">
        <v>357.86599999999999</v>
      </c>
      <c r="E4" s="21">
        <v>378.87799999999999</v>
      </c>
      <c r="F4" s="21">
        <v>397.721</v>
      </c>
      <c r="G4" s="21">
        <v>416.98200000000003</v>
      </c>
      <c r="H4" s="21">
        <v>462.01299999999998</v>
      </c>
      <c r="I4" s="87">
        <f t="shared" si="0"/>
        <v>0.10799267114647626</v>
      </c>
      <c r="J4" s="140">
        <f t="shared" si="2"/>
        <v>402.69199999999995</v>
      </c>
      <c r="K4" s="87">
        <f t="shared" si="1"/>
        <v>0.14731109632175476</v>
      </c>
      <c r="L4" s="14" t="s">
        <v>421</v>
      </c>
      <c r="M4" s="37" t="s">
        <v>426</v>
      </c>
      <c r="N4" s="27"/>
    </row>
    <row r="5" spans="1:14" s="2" customFormat="1" x14ac:dyDescent="0.25">
      <c r="A5" s="36" t="s">
        <v>48</v>
      </c>
      <c r="B5" s="14"/>
      <c r="C5" s="16" t="s">
        <v>39</v>
      </c>
      <c r="D5" s="30">
        <v>226.10599999999999</v>
      </c>
      <c r="E5" s="21">
        <v>223.29400000000001</v>
      </c>
      <c r="F5" s="21">
        <v>215.49799999999999</v>
      </c>
      <c r="G5" s="21">
        <v>217.83799999999999</v>
      </c>
      <c r="H5" s="21">
        <v>220.96299999999999</v>
      </c>
      <c r="I5" s="88">
        <f t="shared" si="0"/>
        <v>1.4345522819710022E-2</v>
      </c>
      <c r="J5" s="141">
        <f t="shared" si="2"/>
        <v>220.73979999999997</v>
      </c>
      <c r="K5" s="88">
        <f t="shared" si="1"/>
        <v>1.0111452488406059E-3</v>
      </c>
      <c r="L5" s="43" t="s">
        <v>473</v>
      </c>
      <c r="M5" s="44" t="s">
        <v>474</v>
      </c>
      <c r="N5" s="23"/>
    </row>
    <row r="6" spans="1:14" s="2" customFormat="1" x14ac:dyDescent="0.25">
      <c r="A6" s="324" t="s">
        <v>14</v>
      </c>
      <c r="B6" s="24" t="s">
        <v>8</v>
      </c>
      <c r="C6" s="16" t="s">
        <v>11</v>
      </c>
      <c r="D6" s="170">
        <v>14.773712</v>
      </c>
      <c r="E6" s="165">
        <v>17.501463000000001</v>
      </c>
      <c r="F6" s="165">
        <v>21.813934</v>
      </c>
      <c r="G6" s="165">
        <v>22.908660999999999</v>
      </c>
      <c r="H6" s="165">
        <v>22.097940000000001</v>
      </c>
      <c r="I6" s="87">
        <f t="shared" si="0"/>
        <v>-3.5389279190084388E-2</v>
      </c>
      <c r="J6" s="156">
        <f t="shared" si="2"/>
        <v>19.819141999999999</v>
      </c>
      <c r="K6" s="87">
        <f t="shared" si="1"/>
        <v>0.1149796494722124</v>
      </c>
      <c r="L6" s="14" t="s">
        <v>469</v>
      </c>
      <c r="M6" s="16" t="s">
        <v>470</v>
      </c>
      <c r="N6" s="49"/>
    </row>
    <row r="7" spans="1:14" s="2" customFormat="1" x14ac:dyDescent="0.25">
      <c r="A7" s="324"/>
      <c r="B7" s="26" t="s">
        <v>442</v>
      </c>
      <c r="C7" s="16" t="s">
        <v>11</v>
      </c>
      <c r="D7" s="170">
        <v>0.66589399999999999</v>
      </c>
      <c r="E7" s="165">
        <v>0.91683300000000001</v>
      </c>
      <c r="F7" s="165">
        <v>1.3945339999999999</v>
      </c>
      <c r="G7" s="165">
        <v>3.329145</v>
      </c>
      <c r="H7" s="165">
        <v>2.5822590000000001</v>
      </c>
      <c r="I7" s="87">
        <f t="shared" si="0"/>
        <v>-0.22434769287609879</v>
      </c>
      <c r="J7" s="156">
        <f t="shared" si="2"/>
        <v>1.777733</v>
      </c>
      <c r="K7" s="87">
        <f t="shared" si="1"/>
        <v>0.45255727378633348</v>
      </c>
      <c r="L7" s="14" t="s">
        <v>469</v>
      </c>
      <c r="M7" s="16" t="s">
        <v>470</v>
      </c>
      <c r="N7" s="49"/>
    </row>
    <row r="8" spans="1:14" s="2" customFormat="1" x14ac:dyDescent="0.25">
      <c r="A8" s="324"/>
      <c r="B8" s="26" t="s">
        <v>445</v>
      </c>
      <c r="C8" s="16" t="s">
        <v>11</v>
      </c>
      <c r="D8" s="170">
        <v>3.0116860000000001</v>
      </c>
      <c r="E8" s="165">
        <v>3.964636</v>
      </c>
      <c r="F8" s="165">
        <v>3.6707860000000001</v>
      </c>
      <c r="G8" s="165">
        <v>3.0736189999999999</v>
      </c>
      <c r="H8" s="165">
        <v>2.4171079999999998</v>
      </c>
      <c r="I8" s="87">
        <f t="shared" si="0"/>
        <v>-0.21359543912241563</v>
      </c>
      <c r="J8" s="156">
        <f t="shared" si="2"/>
        <v>3.2275669999999996</v>
      </c>
      <c r="K8" s="87">
        <f t="shared" si="1"/>
        <v>-0.25110524429082337</v>
      </c>
      <c r="L8" s="14" t="s">
        <v>469</v>
      </c>
      <c r="M8" s="16" t="s">
        <v>470</v>
      </c>
      <c r="N8" s="49"/>
    </row>
    <row r="9" spans="1:14" s="2" customFormat="1" x14ac:dyDescent="0.25">
      <c r="A9" s="324"/>
      <c r="B9" s="26" t="s">
        <v>440</v>
      </c>
      <c r="C9" s="16" t="s">
        <v>11</v>
      </c>
      <c r="D9" s="170">
        <v>2.3261099999999999</v>
      </c>
      <c r="E9" s="165">
        <v>0.84096899999999997</v>
      </c>
      <c r="F9" s="165">
        <v>3.1266289999999999</v>
      </c>
      <c r="G9" s="165">
        <v>1.4674339999999999</v>
      </c>
      <c r="H9" s="165">
        <v>3.2997010000000002</v>
      </c>
      <c r="I9" s="87">
        <f t="shared" si="0"/>
        <v>1.2486196994208942</v>
      </c>
      <c r="J9" s="156">
        <f t="shared" si="2"/>
        <v>2.2121686</v>
      </c>
      <c r="K9" s="87">
        <f t="shared" si="1"/>
        <v>0.49161370430807128</v>
      </c>
      <c r="L9" s="14" t="s">
        <v>469</v>
      </c>
      <c r="M9" s="16" t="s">
        <v>470</v>
      </c>
      <c r="N9" s="49"/>
    </row>
    <row r="10" spans="1:14" s="2" customFormat="1" x14ac:dyDescent="0.25">
      <c r="A10" s="36" t="s">
        <v>10</v>
      </c>
      <c r="B10" s="24" t="s">
        <v>8</v>
      </c>
      <c r="C10" s="16" t="s">
        <v>11</v>
      </c>
      <c r="D10" s="165">
        <v>0</v>
      </c>
      <c r="E10" s="165">
        <v>0</v>
      </c>
      <c r="F10" s="165">
        <v>0</v>
      </c>
      <c r="G10" s="165">
        <v>2.269962</v>
      </c>
      <c r="H10" s="165">
        <v>3.334924</v>
      </c>
      <c r="I10" s="87">
        <f t="shared" si="0"/>
        <v>0.46915410918773093</v>
      </c>
      <c r="J10" s="156">
        <f t="shared" si="2"/>
        <v>1.1209772</v>
      </c>
      <c r="K10" s="87">
        <f t="shared" si="1"/>
        <v>1.975015013686273</v>
      </c>
      <c r="L10" s="14" t="s">
        <v>469</v>
      </c>
      <c r="M10" s="16" t="s">
        <v>470</v>
      </c>
      <c r="N10" s="49"/>
    </row>
    <row r="11" spans="1:14" s="2" customFormat="1" ht="15.75" x14ac:dyDescent="0.25">
      <c r="A11" s="226" t="s">
        <v>533</v>
      </c>
      <c r="B11" s="122" t="s">
        <v>8</v>
      </c>
      <c r="C11" s="55" t="s">
        <v>11</v>
      </c>
      <c r="D11" s="221">
        <f t="shared" ref="D11:H11" si="3">D6-D10</f>
        <v>14.773712</v>
      </c>
      <c r="E11" s="222">
        <f t="shared" si="3"/>
        <v>17.501463000000001</v>
      </c>
      <c r="F11" s="222">
        <f t="shared" si="3"/>
        <v>21.813934</v>
      </c>
      <c r="G11" s="222">
        <f t="shared" si="3"/>
        <v>20.638698999999999</v>
      </c>
      <c r="H11" s="222">
        <f t="shared" si="3"/>
        <v>18.763016</v>
      </c>
      <c r="I11" s="89">
        <f t="shared" si="0"/>
        <v>-9.088184289135659E-2</v>
      </c>
      <c r="J11" s="220">
        <f t="shared" si="2"/>
        <v>18.698164800000001</v>
      </c>
      <c r="K11" s="89">
        <f t="shared" si="1"/>
        <v>3.4683189871125286E-3</v>
      </c>
      <c r="L11" s="58" t="s">
        <v>469</v>
      </c>
      <c r="M11" s="55" t="s">
        <v>470</v>
      </c>
      <c r="N11" s="49"/>
    </row>
    <row r="12" spans="1:14" x14ac:dyDescent="0.25">
      <c r="A12" s="53" t="s">
        <v>80</v>
      </c>
      <c r="F12" s="12"/>
      <c r="G12" s="12"/>
      <c r="H12" s="12"/>
      <c r="I12" s="12"/>
      <c r="J12" s="12"/>
      <c r="K12" s="12"/>
    </row>
    <row r="13" spans="1:14" ht="17.25" x14ac:dyDescent="0.25">
      <c r="A13" s="81" t="s">
        <v>519</v>
      </c>
      <c r="F13" s="12"/>
      <c r="G13" s="12"/>
      <c r="H13" s="12"/>
      <c r="I13" s="12"/>
      <c r="J13" s="12"/>
      <c r="K13" s="12"/>
    </row>
    <row r="14" spans="1:14" ht="17.25" x14ac:dyDescent="0.25">
      <c r="A14" s="81" t="s">
        <v>532</v>
      </c>
    </row>
    <row r="15" spans="1:14" ht="17.25" x14ac:dyDescent="0.25">
      <c r="A15" s="49" t="s">
        <v>521</v>
      </c>
    </row>
  </sheetData>
  <mergeCells count="1">
    <mergeCell ref="A6:A9"/>
  </mergeCells>
  <conditionalFormatting sqref="D4:H4">
    <cfRule type="expression" dxfId="77" priority="2">
      <formula>MOD(ROW(),2)=0</formula>
    </cfRule>
  </conditionalFormatting>
  <conditionalFormatting sqref="D4:H4">
    <cfRule type="expression" dxfId="76" priority="1">
      <formula>MOD(ROW(),2)=0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00"/>
  </sheetPr>
  <dimension ref="A1:Q16"/>
  <sheetViews>
    <sheetView workbookViewId="0"/>
  </sheetViews>
  <sheetFormatPr defaultRowHeight="15" x14ac:dyDescent="0.25"/>
  <cols>
    <col min="1" max="1" width="33.85546875" style="12" bestFit="1" customWidth="1"/>
    <col min="2" max="2" width="14.42578125" style="12" bestFit="1" customWidth="1"/>
    <col min="3" max="3" width="15.7109375" style="12" bestFit="1" customWidth="1"/>
    <col min="4" max="5" width="10.5703125" style="12" bestFit="1" customWidth="1"/>
    <col min="6" max="6" width="10.5703125" style="11" bestFit="1" customWidth="1"/>
    <col min="7" max="7" width="10.7109375" style="11" bestFit="1" customWidth="1"/>
    <col min="8" max="8" width="10.7109375" style="11" customWidth="1"/>
    <col min="9" max="10" width="15.85546875" style="11" customWidth="1"/>
    <col min="11" max="11" width="16.85546875" style="13" bestFit="1" customWidth="1"/>
    <col min="12" max="12" width="24.28515625" style="12" customWidth="1"/>
    <col min="13" max="13" width="255.7109375" style="12" bestFit="1" customWidth="1"/>
    <col min="14" max="14" width="34.7109375" style="12" customWidth="1"/>
    <col min="15" max="17" width="9.140625" style="12"/>
  </cols>
  <sheetData>
    <row r="1" spans="1:17" s="1" customFormat="1" ht="30" x14ac:dyDescent="0.25">
      <c r="A1" s="33" t="s">
        <v>0</v>
      </c>
      <c r="B1" s="34" t="s">
        <v>9</v>
      </c>
      <c r="C1" s="232" t="s">
        <v>1</v>
      </c>
      <c r="D1" s="34" t="str">
        <f>+'Output Table'!C1</f>
        <v>2014-15</v>
      </c>
      <c r="E1" s="34" t="str">
        <f>+'Output Table'!D1</f>
        <v>2015-16</v>
      </c>
      <c r="F1" s="34" t="str">
        <f>+'Output Table'!E1</f>
        <v>2016-17</v>
      </c>
      <c r="G1" s="34" t="str">
        <f>+'Output Table'!F1</f>
        <v>2017-18</v>
      </c>
      <c r="H1" s="34" t="str">
        <f>+'Output Table'!G1</f>
        <v>2018-19e</v>
      </c>
      <c r="I1" s="39" t="s">
        <v>136</v>
      </c>
      <c r="J1" s="39" t="s">
        <v>428</v>
      </c>
      <c r="K1" s="41" t="s">
        <v>422</v>
      </c>
      <c r="L1" s="34" t="s">
        <v>15</v>
      </c>
      <c r="M1" s="35" t="s">
        <v>16</v>
      </c>
      <c r="N1" s="10" t="s">
        <v>17</v>
      </c>
      <c r="O1" s="11"/>
      <c r="P1" s="11"/>
      <c r="Q1" s="11"/>
    </row>
    <row r="2" spans="1:17" s="2" customFormat="1" ht="18" customHeight="1" x14ac:dyDescent="0.25">
      <c r="A2" s="36" t="s">
        <v>5</v>
      </c>
      <c r="B2" s="14"/>
      <c r="C2" s="105" t="s">
        <v>11</v>
      </c>
      <c r="D2" s="29">
        <v>890.00490227</v>
      </c>
      <c r="E2" s="17">
        <v>946.09576192999998</v>
      </c>
      <c r="F2" s="17">
        <v>1094.983751</v>
      </c>
      <c r="G2" s="17">
        <v>1306.2432659999999</v>
      </c>
      <c r="H2" s="60">
        <v>1225.7115191585483</v>
      </c>
      <c r="I2" s="22">
        <f t="shared" ref="I2:I12" si="0">IF(ISBLANK(H2),"N/A",IF(ISNA(H2/G2-1),"N/A",IF(ISERROR(H2/G2-1),"N/A",H2/G2-1)))</f>
        <v>-6.1651415886764593E-2</v>
      </c>
      <c r="J2" s="141">
        <f>IF(ISBLANK(H2),"",IF(ISNA(AVERAGE(D2:H2)),"N/A",IF(ISERROR(AVERAGE(D2:H2)),"N/A",AVERAGE(D2:H2))))</f>
        <v>1092.6078400717097</v>
      </c>
      <c r="K2" s="22">
        <f t="shared" ref="K2:K12" si="1">IF(ISBLANK(H2),"",IF(ISNA(H2/AVERAGE(D2:H2)-1),"N/A",IF(ISERROR(H2/AVERAGE(D2:H2)-1),"N/A",H2/AVERAGE(D2:H2)-1)))</f>
        <v>0.12182200621780526</v>
      </c>
      <c r="L2" s="14" t="s">
        <v>485</v>
      </c>
      <c r="M2" s="169" t="s">
        <v>484</v>
      </c>
      <c r="N2" s="49" t="s">
        <v>511</v>
      </c>
      <c r="O2" s="49"/>
      <c r="P2" s="49"/>
      <c r="Q2" s="49"/>
    </row>
    <row r="3" spans="1:17" s="2" customFormat="1" x14ac:dyDescent="0.25">
      <c r="A3" s="36" t="s">
        <v>179</v>
      </c>
      <c r="B3" s="14"/>
      <c r="C3" s="105" t="s">
        <v>101</v>
      </c>
      <c r="D3" s="84">
        <f>+'Sheep Meat'!D3</f>
        <v>25.708222980000002</v>
      </c>
      <c r="E3" s="85">
        <f>+'Sheep Meat'!E3</f>
        <v>25.968193850000002</v>
      </c>
      <c r="F3" s="85">
        <f>+'Sheep Meat'!F3</f>
        <v>26.928532090000001</v>
      </c>
      <c r="G3" s="135">
        <f>+'Sheep Meat'!G3</f>
        <v>25.222087399999999</v>
      </c>
      <c r="H3" s="69" t="s">
        <v>93</v>
      </c>
      <c r="I3" s="70" t="str">
        <f t="shared" si="0"/>
        <v>N/A</v>
      </c>
      <c r="J3" s="154">
        <f t="shared" ref="J3:J12" si="2">IF(ISBLANK(H3),"",IF(ISNA(AVERAGE(D3:H3)),"N/A",IF(ISERROR(AVERAGE(D3:H3)),"N/A",AVERAGE(D3:H3))))</f>
        <v>25.956759080000005</v>
      </c>
      <c r="K3" s="71" t="str">
        <f t="shared" si="1"/>
        <v>N/A</v>
      </c>
      <c r="L3" s="14" t="s">
        <v>479</v>
      </c>
      <c r="M3" s="37" t="s">
        <v>480</v>
      </c>
    </row>
    <row r="4" spans="1:17" s="2" customFormat="1" x14ac:dyDescent="0.25">
      <c r="A4" s="36" t="s">
        <v>181</v>
      </c>
      <c r="B4" s="14"/>
      <c r="C4" s="105" t="s">
        <v>101</v>
      </c>
      <c r="D4" s="84">
        <v>10.12281121</v>
      </c>
      <c r="E4" s="85">
        <v>9.8735312400000002</v>
      </c>
      <c r="F4" s="85">
        <v>10.01958374</v>
      </c>
      <c r="G4" s="135">
        <v>9.8724136500000004</v>
      </c>
      <c r="H4" s="69" t="s">
        <v>93</v>
      </c>
      <c r="I4" s="70" t="str">
        <f t="shared" si="0"/>
        <v>N/A</v>
      </c>
      <c r="J4" s="154">
        <f t="shared" si="2"/>
        <v>9.9720849600000001</v>
      </c>
      <c r="K4" s="71" t="str">
        <f t="shared" si="1"/>
        <v>N/A</v>
      </c>
      <c r="L4" s="14" t="s">
        <v>479</v>
      </c>
      <c r="M4" s="37" t="s">
        <v>480</v>
      </c>
    </row>
    <row r="5" spans="1:17" s="2" customFormat="1" ht="30" x14ac:dyDescent="0.25">
      <c r="A5" s="36" t="s">
        <v>6</v>
      </c>
      <c r="B5" s="14"/>
      <c r="C5" s="106" t="s">
        <v>12</v>
      </c>
      <c r="D5" s="30">
        <v>121.443</v>
      </c>
      <c r="E5" s="21">
        <v>110.792</v>
      </c>
      <c r="F5" s="21">
        <v>118.956</v>
      </c>
      <c r="G5" s="21">
        <v>117.504</v>
      </c>
      <c r="H5" s="21">
        <v>98.481999999999999</v>
      </c>
      <c r="I5" s="18">
        <f t="shared" si="0"/>
        <v>-0.16188385076252731</v>
      </c>
      <c r="J5" s="152">
        <f t="shared" si="2"/>
        <v>113.4354</v>
      </c>
      <c r="K5" s="18">
        <f t="shared" si="1"/>
        <v>-0.13182304642113485</v>
      </c>
      <c r="L5" s="14" t="s">
        <v>486</v>
      </c>
      <c r="M5" s="169" t="s">
        <v>487</v>
      </c>
      <c r="N5" s="27"/>
      <c r="O5" s="49"/>
      <c r="P5" s="49"/>
      <c r="Q5" s="49"/>
    </row>
    <row r="6" spans="1:17" s="2" customFormat="1" x14ac:dyDescent="0.25">
      <c r="A6" s="36" t="s">
        <v>57</v>
      </c>
      <c r="B6" s="14"/>
      <c r="C6" s="105" t="s">
        <v>58</v>
      </c>
      <c r="D6" s="30">
        <v>1098</v>
      </c>
      <c r="E6" s="21">
        <v>1256</v>
      </c>
      <c r="F6" s="21">
        <v>1415</v>
      </c>
      <c r="G6" s="21">
        <v>1723.1555555555601</v>
      </c>
      <c r="H6" s="21">
        <v>1723.1559999999999</v>
      </c>
      <c r="I6" s="22">
        <f t="shared" si="0"/>
        <v>2.5792473490326984E-7</v>
      </c>
      <c r="J6" s="151">
        <f t="shared" si="2"/>
        <v>1443.0623111111122</v>
      </c>
      <c r="K6" s="22">
        <f t="shared" si="1"/>
        <v>0.19409673908898961</v>
      </c>
      <c r="L6" s="14" t="s">
        <v>473</v>
      </c>
      <c r="M6" s="44" t="s">
        <v>474</v>
      </c>
      <c r="N6" s="23"/>
      <c r="O6" s="49"/>
      <c r="P6" s="49"/>
      <c r="Q6" s="49"/>
    </row>
    <row r="7" spans="1:17" s="2" customFormat="1" x14ac:dyDescent="0.25">
      <c r="A7" s="324" t="s">
        <v>14</v>
      </c>
      <c r="B7" s="24" t="s">
        <v>8</v>
      </c>
      <c r="C7" s="105" t="s">
        <v>11</v>
      </c>
      <c r="D7" s="170">
        <v>604.71934999999996</v>
      </c>
      <c r="E7" s="165">
        <v>583.64401599999997</v>
      </c>
      <c r="F7" s="165">
        <v>673.06748300000004</v>
      </c>
      <c r="G7" s="165">
        <v>870.84544500000004</v>
      </c>
      <c r="H7" s="165">
        <v>807.47414600000002</v>
      </c>
      <c r="I7" s="18">
        <f t="shared" si="0"/>
        <v>-7.2769857572143604E-2</v>
      </c>
      <c r="J7" s="234">
        <f t="shared" si="2"/>
        <v>707.95008800000005</v>
      </c>
      <c r="K7" s="18">
        <f t="shared" si="1"/>
        <v>0.14058061392599175</v>
      </c>
      <c r="L7" s="14" t="s">
        <v>469</v>
      </c>
      <c r="M7" s="16" t="s">
        <v>470</v>
      </c>
      <c r="N7" s="49"/>
      <c r="O7" s="49"/>
      <c r="P7" s="49"/>
      <c r="Q7" s="49"/>
    </row>
    <row r="8" spans="1:17" s="2" customFormat="1" x14ac:dyDescent="0.25">
      <c r="A8" s="324"/>
      <c r="B8" s="26" t="s">
        <v>431</v>
      </c>
      <c r="C8" s="105" t="s">
        <v>11</v>
      </c>
      <c r="D8" s="170">
        <v>452.84025600000001</v>
      </c>
      <c r="E8" s="165">
        <v>441.734036</v>
      </c>
      <c r="F8" s="165">
        <v>532.06757000000005</v>
      </c>
      <c r="G8" s="165">
        <v>719.50719200000003</v>
      </c>
      <c r="H8" s="165">
        <v>684.67072399999995</v>
      </c>
      <c r="I8" s="18">
        <f t="shared" si="0"/>
        <v>-4.8417122701950754E-2</v>
      </c>
      <c r="J8" s="234">
        <f t="shared" si="2"/>
        <v>566.16395560000001</v>
      </c>
      <c r="K8" s="18">
        <f t="shared" si="1"/>
        <v>0.20931528266297139</v>
      </c>
      <c r="L8" s="14" t="s">
        <v>469</v>
      </c>
      <c r="M8" s="16" t="s">
        <v>470</v>
      </c>
      <c r="N8" s="49"/>
      <c r="O8" s="49"/>
      <c r="P8" s="49"/>
      <c r="Q8" s="49"/>
    </row>
    <row r="9" spans="1:17" s="2" customFormat="1" x14ac:dyDescent="0.25">
      <c r="A9" s="324"/>
      <c r="B9" s="26" t="s">
        <v>432</v>
      </c>
      <c r="C9" s="105" t="s">
        <v>11</v>
      </c>
      <c r="D9" s="170">
        <v>63.278779</v>
      </c>
      <c r="E9" s="165">
        <v>63.710774999999998</v>
      </c>
      <c r="F9" s="165">
        <v>80.188967000000005</v>
      </c>
      <c r="G9" s="165">
        <v>65.215986000000001</v>
      </c>
      <c r="H9" s="165">
        <v>45.271394999999998</v>
      </c>
      <c r="I9" s="18">
        <f t="shared" si="0"/>
        <v>-0.30582365188805094</v>
      </c>
      <c r="J9" s="234">
        <f t="shared" si="2"/>
        <v>63.533180399999992</v>
      </c>
      <c r="K9" s="18">
        <f t="shared" si="1"/>
        <v>-0.28743697836351345</v>
      </c>
      <c r="L9" s="14" t="s">
        <v>469</v>
      </c>
      <c r="M9" s="16" t="s">
        <v>470</v>
      </c>
      <c r="N9" s="49"/>
      <c r="O9" s="49"/>
      <c r="P9" s="49"/>
      <c r="Q9" s="49"/>
    </row>
    <row r="10" spans="1:17" s="2" customFormat="1" x14ac:dyDescent="0.25">
      <c r="A10" s="324"/>
      <c r="B10" s="26" t="s">
        <v>446</v>
      </c>
      <c r="C10" s="105" t="s">
        <v>11</v>
      </c>
      <c r="D10" s="170">
        <v>42.302019999999999</v>
      </c>
      <c r="E10" s="165">
        <v>33.768081000000002</v>
      </c>
      <c r="F10" s="165">
        <v>31.031779</v>
      </c>
      <c r="G10" s="165">
        <v>43.616841999999998</v>
      </c>
      <c r="H10" s="165">
        <v>30.909317000000001</v>
      </c>
      <c r="I10" s="18">
        <f t="shared" si="0"/>
        <v>-0.29134445359432481</v>
      </c>
      <c r="J10" s="234">
        <f t="shared" si="2"/>
        <v>36.3256078</v>
      </c>
      <c r="K10" s="18">
        <f t="shared" si="1"/>
        <v>-0.14910392772560843</v>
      </c>
      <c r="L10" s="14" t="s">
        <v>469</v>
      </c>
      <c r="M10" s="16" t="s">
        <v>470</v>
      </c>
      <c r="N10" s="49"/>
      <c r="O10" s="49"/>
      <c r="P10" s="49"/>
      <c r="Q10" s="49"/>
    </row>
    <row r="11" spans="1:17" s="2" customFormat="1" x14ac:dyDescent="0.25">
      <c r="A11" s="36" t="s">
        <v>10</v>
      </c>
      <c r="B11" s="24" t="s">
        <v>8</v>
      </c>
      <c r="C11" s="105" t="s">
        <v>11</v>
      </c>
      <c r="D11" s="165">
        <v>0.201822</v>
      </c>
      <c r="E11" s="165">
        <v>0.17716799999999999</v>
      </c>
      <c r="F11" s="165">
        <v>0.116647</v>
      </c>
      <c r="G11" s="165">
        <v>4.8207E-2</v>
      </c>
      <c r="H11" s="165">
        <v>5.6031999999999998E-2</v>
      </c>
      <c r="I11" s="18">
        <f t="shared" si="0"/>
        <v>0.16232082477648468</v>
      </c>
      <c r="J11" s="234">
        <f t="shared" si="2"/>
        <v>0.11997519999999999</v>
      </c>
      <c r="K11" s="18">
        <f t="shared" si="1"/>
        <v>-0.53297014716374713</v>
      </c>
      <c r="L11" s="14" t="s">
        <v>469</v>
      </c>
      <c r="M11" s="16" t="s">
        <v>470</v>
      </c>
      <c r="N11" s="49"/>
      <c r="O11" s="49"/>
      <c r="P11" s="49"/>
      <c r="Q11" s="49"/>
    </row>
    <row r="12" spans="1:17" s="2" customFormat="1" ht="15.75" x14ac:dyDescent="0.25">
      <c r="A12" s="226" t="s">
        <v>533</v>
      </c>
      <c r="B12" s="122" t="s">
        <v>8</v>
      </c>
      <c r="C12" s="233" t="s">
        <v>11</v>
      </c>
      <c r="D12" s="221">
        <f t="shared" ref="D12:H12" si="3">D7-D11</f>
        <v>604.51752799999997</v>
      </c>
      <c r="E12" s="222">
        <f t="shared" si="3"/>
        <v>583.46684799999991</v>
      </c>
      <c r="F12" s="222">
        <f t="shared" si="3"/>
        <v>672.95083600000009</v>
      </c>
      <c r="G12" s="222">
        <f t="shared" si="3"/>
        <v>870.79723799999999</v>
      </c>
      <c r="H12" s="222">
        <f t="shared" si="3"/>
        <v>807.41811400000006</v>
      </c>
      <c r="I12" s="57">
        <f t="shared" si="0"/>
        <v>-7.278287210185197E-2</v>
      </c>
      <c r="J12" s="235">
        <f t="shared" si="2"/>
        <v>707.83011280000005</v>
      </c>
      <c r="K12" s="57">
        <f t="shared" si="1"/>
        <v>0.14069477887293402</v>
      </c>
      <c r="L12" s="61" t="s">
        <v>469</v>
      </c>
      <c r="M12" s="62" t="s">
        <v>470</v>
      </c>
      <c r="N12" s="49"/>
      <c r="O12" s="49"/>
      <c r="P12" s="49"/>
      <c r="Q12" s="49"/>
    </row>
    <row r="13" spans="1:17" x14ac:dyDescent="0.25">
      <c r="A13" s="53" t="s">
        <v>80</v>
      </c>
      <c r="F13" s="12"/>
      <c r="G13" s="12"/>
      <c r="H13" s="12"/>
      <c r="I13" s="12"/>
      <c r="J13" s="12"/>
      <c r="K13" s="12"/>
    </row>
    <row r="14" spans="1:17" ht="17.25" x14ac:dyDescent="0.25">
      <c r="A14" s="81" t="s">
        <v>519</v>
      </c>
      <c r="F14" s="12"/>
      <c r="G14" s="12"/>
      <c r="H14" s="12"/>
      <c r="I14" s="12"/>
      <c r="J14" s="12"/>
      <c r="K14" s="12"/>
    </row>
    <row r="15" spans="1:17" ht="17.25" x14ac:dyDescent="0.25">
      <c r="A15" s="81" t="s">
        <v>532</v>
      </c>
    </row>
    <row r="16" spans="1:17" ht="17.25" x14ac:dyDescent="0.25">
      <c r="A16" s="49" t="s">
        <v>521</v>
      </c>
    </row>
  </sheetData>
  <mergeCells count="1">
    <mergeCell ref="A7:A10"/>
  </mergeCells>
  <conditionalFormatting sqref="D5:H5">
    <cfRule type="expression" dxfId="75" priority="2">
      <formula>MOD(ROW(),2)=0</formula>
    </cfRule>
  </conditionalFormatting>
  <conditionalFormatting sqref="D5:H5">
    <cfRule type="expression" dxfId="74" priority="1">
      <formula>MOD(ROW(),2)=0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sheetPr>
  <dimension ref="A1:N18"/>
  <sheetViews>
    <sheetView workbookViewId="0">
      <selection activeCell="L2" sqref="L2"/>
    </sheetView>
  </sheetViews>
  <sheetFormatPr defaultRowHeight="15" x14ac:dyDescent="0.25"/>
  <cols>
    <col min="1" max="1" width="33.85546875" style="12" bestFit="1" customWidth="1"/>
    <col min="2" max="2" width="14.42578125" style="12" bestFit="1" customWidth="1"/>
    <col min="3" max="3" width="15.7109375" style="12" bestFit="1" customWidth="1"/>
    <col min="4" max="4" width="10.5703125" style="12" bestFit="1" customWidth="1"/>
    <col min="5" max="5" width="14.28515625" style="12" bestFit="1" customWidth="1"/>
    <col min="6" max="6" width="10.5703125" style="11" bestFit="1" customWidth="1"/>
    <col min="7" max="7" width="11.140625" style="11" bestFit="1" customWidth="1"/>
    <col min="8" max="8" width="10.7109375" style="11" customWidth="1"/>
    <col min="9" max="10" width="16.42578125" style="11" customWidth="1"/>
    <col min="11" max="11" width="16.85546875" style="13" bestFit="1" customWidth="1"/>
    <col min="12" max="12" width="28.140625" style="12" customWidth="1"/>
    <col min="13" max="13" width="255.7109375" style="12" bestFit="1" customWidth="1"/>
    <col min="14" max="14" width="34.7109375" style="12" customWidth="1"/>
  </cols>
  <sheetData>
    <row r="1" spans="1:14" s="1" customFormat="1" ht="30" x14ac:dyDescent="0.25">
      <c r="A1" s="33" t="s">
        <v>0</v>
      </c>
      <c r="B1" s="34" t="s">
        <v>9</v>
      </c>
      <c r="C1" s="232" t="s">
        <v>1</v>
      </c>
      <c r="D1" s="34" t="str">
        <f>'Output Table'!C1</f>
        <v>2014-15</v>
      </c>
      <c r="E1" s="34" t="str">
        <f>'Output Table'!D1</f>
        <v>2015-16</v>
      </c>
      <c r="F1" s="34" t="str">
        <f>'Output Table'!E1</f>
        <v>2016-17</v>
      </c>
      <c r="G1" s="34" t="str">
        <f>'Output Table'!F1</f>
        <v>2017-18</v>
      </c>
      <c r="H1" s="34" t="str">
        <f>'Output Table'!G1</f>
        <v>2018-19e</v>
      </c>
      <c r="I1" s="39" t="s">
        <v>136</v>
      </c>
      <c r="J1" s="39" t="s">
        <v>428</v>
      </c>
      <c r="K1" s="41" t="s">
        <v>422</v>
      </c>
      <c r="L1" s="34" t="s">
        <v>15</v>
      </c>
      <c r="M1" s="35" t="s">
        <v>16</v>
      </c>
      <c r="N1" s="10" t="s">
        <v>17</v>
      </c>
    </row>
    <row r="2" spans="1:14" s="2" customFormat="1" ht="17.25" customHeight="1" x14ac:dyDescent="0.25">
      <c r="A2" s="36" t="s">
        <v>5</v>
      </c>
      <c r="B2" s="14"/>
      <c r="C2" s="105" t="s">
        <v>11</v>
      </c>
      <c r="D2" s="60">
        <v>239.03287349999999</v>
      </c>
      <c r="E2" s="60">
        <v>258.14940296999998</v>
      </c>
      <c r="F2" s="60">
        <v>255.51483049999999</v>
      </c>
      <c r="G2" s="60">
        <v>263.09533299000003</v>
      </c>
      <c r="H2" s="60">
        <v>268.67718818408366</v>
      </c>
      <c r="I2" s="88">
        <f t="shared" ref="I2:I13" si="0">IF(ISBLANK(H2),"N/A",IF(ISNA(H2/G2-1),"N/A",IF(ISERROR(H2/G2-1),"N/A",H2/G2-1)))</f>
        <v>2.1216093537834713E-2</v>
      </c>
      <c r="J2" s="141">
        <f>IF(ISBLANK(H2),"",IF(ISNA(AVERAGE(D2:H2)),"N/A",IF(ISERROR(AVERAGE(D2:H2)),"N/A",AVERAGE(D2:H2))))</f>
        <v>256.8939256288167</v>
      </c>
      <c r="K2" s="88">
        <f t="shared" ref="K2:K13" si="1">IF(ISBLANK(H2),"",IF(ISNA(H2/AVERAGE(D2:H2)-1),"N/A",IF(ISERROR(H2/AVERAGE(D2:H2)-1),"N/A",H2/AVERAGE(D2:H2)-1)))</f>
        <v>4.5868202319008677E-2</v>
      </c>
      <c r="L2" s="14" t="s">
        <v>485</v>
      </c>
      <c r="M2" s="169" t="s">
        <v>484</v>
      </c>
      <c r="N2" s="49" t="s">
        <v>511</v>
      </c>
    </row>
    <row r="3" spans="1:14" s="2" customFormat="1" x14ac:dyDescent="0.25">
      <c r="A3" s="36" t="s">
        <v>106</v>
      </c>
      <c r="B3" s="14"/>
      <c r="C3" s="105" t="s">
        <v>101</v>
      </c>
      <c r="D3" s="17">
        <v>4.8506459900000003</v>
      </c>
      <c r="E3" s="17">
        <v>4.90573441</v>
      </c>
      <c r="F3" s="133">
        <v>4.9843944900000006</v>
      </c>
      <c r="G3" s="133">
        <v>6.6055079000000001</v>
      </c>
      <c r="H3" s="68" t="s">
        <v>93</v>
      </c>
      <c r="I3" s="71" t="str">
        <f t="shared" si="0"/>
        <v>N/A</v>
      </c>
      <c r="J3" s="142">
        <f t="shared" ref="J3:J13" si="2">IF(ISBLANK(H3),"",IF(ISNA(AVERAGE(D3:H3)),"N/A",IF(ISERROR(AVERAGE(D3:H3)),"N/A",AVERAGE(D3:H3))))</f>
        <v>5.3365706975</v>
      </c>
      <c r="K3" s="71" t="str">
        <f t="shared" si="1"/>
        <v>N/A</v>
      </c>
      <c r="L3" s="14" t="s">
        <v>479</v>
      </c>
      <c r="M3" s="37" t="s">
        <v>480</v>
      </c>
      <c r="N3" s="49"/>
    </row>
    <row r="4" spans="1:14" s="2" customFormat="1" x14ac:dyDescent="0.25">
      <c r="A4" s="36" t="s">
        <v>107</v>
      </c>
      <c r="B4" s="14"/>
      <c r="C4" s="106" t="s">
        <v>61</v>
      </c>
      <c r="D4" s="60">
        <v>95.770958870000001</v>
      </c>
      <c r="E4" s="60">
        <v>103.67895552</v>
      </c>
      <c r="F4" s="133">
        <v>103.80514806999999</v>
      </c>
      <c r="G4" s="133">
        <v>117.55601026000001</v>
      </c>
      <c r="H4" s="68" t="s">
        <v>93</v>
      </c>
      <c r="I4" s="71" t="str">
        <f t="shared" si="0"/>
        <v>N/A</v>
      </c>
      <c r="J4" s="142">
        <f t="shared" si="2"/>
        <v>105.20276817999999</v>
      </c>
      <c r="K4" s="71" t="str">
        <f t="shared" si="1"/>
        <v>N/A</v>
      </c>
      <c r="L4" s="14" t="s">
        <v>479</v>
      </c>
      <c r="M4" s="37" t="s">
        <v>480</v>
      </c>
      <c r="N4" s="27"/>
    </row>
    <row r="5" spans="1:14" s="2" customFormat="1" x14ac:dyDescent="0.25">
      <c r="A5" s="36" t="s">
        <v>100</v>
      </c>
      <c r="B5" s="14"/>
      <c r="C5" s="106" t="s">
        <v>47</v>
      </c>
      <c r="D5" s="64">
        <v>0.30208715006377207</v>
      </c>
      <c r="E5" s="64">
        <v>0.31542424895965188</v>
      </c>
      <c r="F5" s="113">
        <v>0.30188223357951488</v>
      </c>
      <c r="G5" s="113">
        <v>0.32688720514423908</v>
      </c>
      <c r="H5" s="68" t="s">
        <v>93</v>
      </c>
      <c r="I5" s="71" t="str">
        <f t="shared" si="0"/>
        <v>N/A</v>
      </c>
      <c r="J5" s="142">
        <f t="shared" si="2"/>
        <v>0.31157020943679448</v>
      </c>
      <c r="K5" s="71" t="str">
        <f t="shared" si="1"/>
        <v>N/A</v>
      </c>
      <c r="L5" s="14" t="s">
        <v>479</v>
      </c>
      <c r="M5" s="37" t="s">
        <v>480</v>
      </c>
      <c r="N5" s="27"/>
    </row>
    <row r="6" spans="1:14" s="2" customFormat="1" x14ac:dyDescent="0.25">
      <c r="A6" s="36" t="s">
        <v>108</v>
      </c>
      <c r="B6" s="14"/>
      <c r="C6" s="105" t="s">
        <v>109</v>
      </c>
      <c r="D6" s="21">
        <v>228.803</v>
      </c>
      <c r="E6" s="21">
        <v>238.154</v>
      </c>
      <c r="F6" s="21">
        <v>238.352</v>
      </c>
      <c r="G6" s="21">
        <v>230.30500000000001</v>
      </c>
      <c r="H6" s="21">
        <v>241</v>
      </c>
      <c r="I6" s="88">
        <f t="shared" si="0"/>
        <v>4.6438418618788058E-2</v>
      </c>
      <c r="J6" s="141">
        <f t="shared" si="2"/>
        <v>235.3228</v>
      </c>
      <c r="K6" s="88">
        <f t="shared" si="1"/>
        <v>2.4125159143100428E-2</v>
      </c>
      <c r="L6" s="43" t="s">
        <v>473</v>
      </c>
      <c r="M6" s="44" t="s">
        <v>474</v>
      </c>
      <c r="N6" s="23"/>
    </row>
    <row r="7" spans="1:14" s="2" customFormat="1" ht="17.25" x14ac:dyDescent="0.25">
      <c r="A7" s="36" t="s">
        <v>582</v>
      </c>
      <c r="B7" s="14"/>
      <c r="C7" s="105" t="s">
        <v>84</v>
      </c>
      <c r="D7" s="21">
        <v>110.7</v>
      </c>
      <c r="E7" s="20">
        <v>108.27500000000001</v>
      </c>
      <c r="F7" s="20">
        <v>109.17500000000001</v>
      </c>
      <c r="G7" s="20">
        <v>105.825</v>
      </c>
      <c r="H7" s="20">
        <v>106.7</v>
      </c>
      <c r="I7" s="87">
        <f t="shared" si="0"/>
        <v>8.2683675879990925E-3</v>
      </c>
      <c r="J7" s="140">
        <f t="shared" si="2"/>
        <v>108.13500000000002</v>
      </c>
      <c r="K7" s="87">
        <f t="shared" si="1"/>
        <v>-1.3270448975817417E-2</v>
      </c>
      <c r="L7" s="43" t="s">
        <v>477</v>
      </c>
      <c r="M7" s="37" t="s">
        <v>478</v>
      </c>
      <c r="N7" s="23"/>
    </row>
    <row r="8" spans="1:14" s="2" customFormat="1" x14ac:dyDescent="0.25">
      <c r="A8" s="324" t="s">
        <v>14</v>
      </c>
      <c r="B8" s="24" t="s">
        <v>8</v>
      </c>
      <c r="C8" s="105" t="s">
        <v>11</v>
      </c>
      <c r="D8" s="165">
        <v>0.96578299999999995</v>
      </c>
      <c r="E8" s="165">
        <v>1.8150740000000001</v>
      </c>
      <c r="F8" s="165">
        <v>3.8432759999999999</v>
      </c>
      <c r="G8" s="165">
        <v>12.240022</v>
      </c>
      <c r="H8" s="165">
        <v>7.8934610000000003</v>
      </c>
      <c r="I8" s="87">
        <f t="shared" si="0"/>
        <v>-0.35511055453985296</v>
      </c>
      <c r="J8" s="156">
        <f t="shared" si="2"/>
        <v>5.3515231999999999</v>
      </c>
      <c r="K8" s="87">
        <f t="shared" si="1"/>
        <v>0.47499332526485172</v>
      </c>
      <c r="L8" s="14" t="s">
        <v>469</v>
      </c>
      <c r="M8" s="16" t="s">
        <v>470</v>
      </c>
      <c r="N8" s="49"/>
    </row>
    <row r="9" spans="1:14" s="2" customFormat="1" x14ac:dyDescent="0.25">
      <c r="A9" s="324"/>
      <c r="B9" s="26" t="s">
        <v>440</v>
      </c>
      <c r="C9" s="105" t="s">
        <v>11</v>
      </c>
      <c r="D9" s="165">
        <v>0.62495999999999996</v>
      </c>
      <c r="E9" s="165">
        <v>0</v>
      </c>
      <c r="F9" s="165">
        <v>1.5422400000000001</v>
      </c>
      <c r="G9" s="165">
        <v>11.042329000000001</v>
      </c>
      <c r="H9" s="165">
        <v>5.8645069999999997</v>
      </c>
      <c r="I9" s="87">
        <f t="shared" si="0"/>
        <v>-0.4689066953176273</v>
      </c>
      <c r="J9" s="156">
        <f t="shared" si="2"/>
        <v>3.8148071999999997</v>
      </c>
      <c r="K9" s="87">
        <f t="shared" si="1"/>
        <v>0.53730102008824976</v>
      </c>
      <c r="L9" s="14" t="s">
        <v>469</v>
      </c>
      <c r="M9" s="16" t="s">
        <v>470</v>
      </c>
      <c r="N9" s="49"/>
    </row>
    <row r="10" spans="1:14" s="2" customFormat="1" x14ac:dyDescent="0.25">
      <c r="A10" s="324"/>
      <c r="B10" s="26" t="s">
        <v>441</v>
      </c>
      <c r="C10" s="105" t="s">
        <v>11</v>
      </c>
      <c r="D10" s="165">
        <v>8.0641000000000004E-2</v>
      </c>
      <c r="E10" s="165">
        <v>0</v>
      </c>
      <c r="F10" s="165">
        <v>2.2401000000000001E-2</v>
      </c>
      <c r="G10" s="165">
        <v>0.46512900000000001</v>
      </c>
      <c r="H10" s="165">
        <v>0.56649300000000002</v>
      </c>
      <c r="I10" s="87">
        <f t="shared" si="0"/>
        <v>0.21792663970640413</v>
      </c>
      <c r="J10" s="156">
        <f t="shared" si="2"/>
        <v>0.22693279999999999</v>
      </c>
      <c r="K10" s="87">
        <f t="shared" si="1"/>
        <v>1.4963028702770163</v>
      </c>
      <c r="L10" s="14" t="s">
        <v>469</v>
      </c>
      <c r="M10" s="16" t="s">
        <v>470</v>
      </c>
      <c r="N10" s="49"/>
    </row>
    <row r="11" spans="1:14" s="2" customFormat="1" x14ac:dyDescent="0.25">
      <c r="A11" s="324"/>
      <c r="B11" s="26" t="s">
        <v>435</v>
      </c>
      <c r="C11" s="105" t="s">
        <v>11</v>
      </c>
      <c r="D11" s="165">
        <v>1.2968E-2</v>
      </c>
      <c r="E11" s="165">
        <v>2.3800000000000002E-3</v>
      </c>
      <c r="F11" s="165">
        <v>2.5714999999999998E-2</v>
      </c>
      <c r="G11" s="165">
        <v>4.7638E-2</v>
      </c>
      <c r="H11" s="165">
        <v>0.60447499999999998</v>
      </c>
      <c r="I11" s="87">
        <f t="shared" si="0"/>
        <v>11.688924807926446</v>
      </c>
      <c r="J11" s="156">
        <f t="shared" si="2"/>
        <v>0.13863520000000001</v>
      </c>
      <c r="K11" s="87">
        <f t="shared" si="1"/>
        <v>3.360184137938993</v>
      </c>
      <c r="L11" s="14" t="s">
        <v>469</v>
      </c>
      <c r="M11" s="16" t="s">
        <v>470</v>
      </c>
      <c r="N11" s="49"/>
    </row>
    <row r="12" spans="1:14" s="2" customFormat="1" x14ac:dyDescent="0.25">
      <c r="A12" s="36" t="s">
        <v>10</v>
      </c>
      <c r="B12" s="24" t="s">
        <v>8</v>
      </c>
      <c r="C12" s="105" t="s">
        <v>11</v>
      </c>
      <c r="D12" s="20">
        <v>3.630887</v>
      </c>
      <c r="E12" s="20">
        <v>4.2390340000000002</v>
      </c>
      <c r="F12" s="20">
        <v>5.6820490000000001</v>
      </c>
      <c r="G12" s="20">
        <v>4.566268</v>
      </c>
      <c r="H12" s="20">
        <v>6.836201</v>
      </c>
      <c r="I12" s="87">
        <f t="shared" si="0"/>
        <v>0.49710901769234739</v>
      </c>
      <c r="J12" s="156">
        <f t="shared" si="2"/>
        <v>4.9908878000000003</v>
      </c>
      <c r="K12" s="87">
        <f t="shared" si="1"/>
        <v>0.36973646251875247</v>
      </c>
      <c r="L12" s="14" t="s">
        <v>469</v>
      </c>
      <c r="M12" s="16" t="s">
        <v>470</v>
      </c>
      <c r="N12" s="49"/>
    </row>
    <row r="13" spans="1:14" s="2" customFormat="1" ht="15.75" x14ac:dyDescent="0.25">
      <c r="A13" s="226" t="s">
        <v>533</v>
      </c>
      <c r="B13" s="122" t="s">
        <v>8</v>
      </c>
      <c r="C13" s="233" t="s">
        <v>11</v>
      </c>
      <c r="D13" s="56">
        <f t="shared" ref="D13:H13" si="3">D8-D12</f>
        <v>-2.6651039999999999</v>
      </c>
      <c r="E13" s="56">
        <f t="shared" si="3"/>
        <v>-2.4239600000000001</v>
      </c>
      <c r="F13" s="56">
        <f t="shared" si="3"/>
        <v>-1.8387730000000002</v>
      </c>
      <c r="G13" s="56">
        <f t="shared" si="3"/>
        <v>7.6737539999999997</v>
      </c>
      <c r="H13" s="56">
        <f t="shared" si="3"/>
        <v>1.0572600000000003</v>
      </c>
      <c r="I13" s="89">
        <f t="shared" si="0"/>
        <v>-0.8622238867704124</v>
      </c>
      <c r="J13" s="220">
        <f t="shared" si="2"/>
        <v>0.36063539999999994</v>
      </c>
      <c r="K13" s="89">
        <f t="shared" si="1"/>
        <v>1.9316589552772703</v>
      </c>
      <c r="L13" s="61" t="s">
        <v>469</v>
      </c>
      <c r="M13" s="62" t="s">
        <v>470</v>
      </c>
      <c r="N13" s="49"/>
    </row>
    <row r="14" spans="1:14" x14ac:dyDescent="0.25">
      <c r="A14" s="53" t="s">
        <v>80</v>
      </c>
      <c r="F14" s="12"/>
      <c r="G14" s="12"/>
      <c r="H14" s="12"/>
      <c r="I14" s="12"/>
      <c r="J14" s="12"/>
      <c r="K14" s="12"/>
    </row>
    <row r="15" spans="1:14" ht="17.25" x14ac:dyDescent="0.25">
      <c r="A15" s="81" t="s">
        <v>519</v>
      </c>
      <c r="F15" s="12"/>
      <c r="G15" s="12"/>
      <c r="H15" s="12"/>
      <c r="I15" s="12"/>
      <c r="J15" s="12"/>
      <c r="K15" s="12"/>
    </row>
    <row r="16" spans="1:14" ht="17.25" x14ac:dyDescent="0.25">
      <c r="A16" s="81" t="s">
        <v>532</v>
      </c>
    </row>
    <row r="17" spans="1:1" ht="17.25" x14ac:dyDescent="0.25">
      <c r="A17" s="49" t="s">
        <v>521</v>
      </c>
    </row>
    <row r="18" spans="1:1" ht="17.25" x14ac:dyDescent="0.25">
      <c r="A18" s="81" t="s">
        <v>360</v>
      </c>
    </row>
  </sheetData>
  <mergeCells count="1">
    <mergeCell ref="A8:A11"/>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N19"/>
  <sheetViews>
    <sheetView workbookViewId="0">
      <selection activeCell="G2" sqref="G2"/>
    </sheetView>
  </sheetViews>
  <sheetFormatPr defaultRowHeight="15" x14ac:dyDescent="0.25"/>
  <cols>
    <col min="1" max="1" width="33.85546875" style="12" bestFit="1" customWidth="1"/>
    <col min="2" max="2" width="11.28515625" style="12" bestFit="1" customWidth="1"/>
    <col min="3" max="3" width="15.7109375" style="12" bestFit="1" customWidth="1"/>
    <col min="4" max="5" width="10.5703125" style="12" bestFit="1" customWidth="1"/>
    <col min="6" max="6" width="10.5703125" style="11" bestFit="1" customWidth="1"/>
    <col min="7" max="7" width="10.7109375" style="11" bestFit="1" customWidth="1"/>
    <col min="8" max="8" width="10.7109375" style="11" customWidth="1"/>
    <col min="9" max="10" width="16.140625" style="11" customWidth="1"/>
    <col min="11" max="11" width="16.85546875" style="13" bestFit="1" customWidth="1"/>
    <col min="12" max="12" width="37" style="12" bestFit="1" customWidth="1"/>
    <col min="13" max="13" width="181.5703125" style="12" bestFit="1" customWidth="1"/>
    <col min="14" max="14" width="34.7109375" style="12" customWidth="1"/>
  </cols>
  <sheetData>
    <row r="1" spans="1:14" s="1" customFormat="1" ht="30" x14ac:dyDescent="0.25">
      <c r="A1" s="33" t="s">
        <v>0</v>
      </c>
      <c r="B1" s="34" t="s">
        <v>9</v>
      </c>
      <c r="C1" s="35" t="s">
        <v>1</v>
      </c>
      <c r="D1" s="34" t="str">
        <f>'Output Table'!C1</f>
        <v>2014-15</v>
      </c>
      <c r="E1" s="34" t="str">
        <f>'Output Table'!D1</f>
        <v>2015-16</v>
      </c>
      <c r="F1" s="34" t="str">
        <f>'Output Table'!E1</f>
        <v>2016-17</v>
      </c>
      <c r="G1" s="34" t="str">
        <f>'Output Table'!F1</f>
        <v>2017-18</v>
      </c>
      <c r="H1" s="34" t="str">
        <f>'Output Table'!G1</f>
        <v>2018-19e</v>
      </c>
      <c r="I1" s="39" t="s">
        <v>136</v>
      </c>
      <c r="J1" s="39" t="s">
        <v>428</v>
      </c>
      <c r="K1" s="41" t="s">
        <v>422</v>
      </c>
      <c r="L1" s="34" t="s">
        <v>15</v>
      </c>
      <c r="M1" s="35" t="s">
        <v>16</v>
      </c>
      <c r="N1" s="10" t="s">
        <v>17</v>
      </c>
    </row>
    <row r="2" spans="1:14" s="2" customFormat="1" ht="16.5" customHeight="1" x14ac:dyDescent="0.25">
      <c r="A2" s="36" t="s">
        <v>5</v>
      </c>
      <c r="B2" s="14"/>
      <c r="C2" s="16" t="s">
        <v>11</v>
      </c>
      <c r="D2" s="60">
        <v>611.90698865000002</v>
      </c>
      <c r="E2" s="60">
        <v>593.68839890999993</v>
      </c>
      <c r="F2" s="60">
        <v>548.79243439999993</v>
      </c>
      <c r="G2" s="60">
        <v>566.22330948000001</v>
      </c>
      <c r="H2" s="60">
        <v>567.50056429931988</v>
      </c>
      <c r="I2" s="88">
        <f t="shared" ref="I2:I14" si="0">IF(ISBLANK(H2),"N/A",IF(ISNA(H2/G2-1),"N/A",IF(ISERROR(H2/G2-1),"N/A",H2/G2-1)))</f>
        <v>2.2557439758050801E-3</v>
      </c>
      <c r="J2" s="141">
        <f>IF(ISBLANK(H2),"",IF(ISNA(AVERAGE(D2:H2)),"N/A",IF(ISERROR(AVERAGE(D2:H2)),"N/A",AVERAGE(D2:H2))))</f>
        <v>577.62233914786395</v>
      </c>
      <c r="K2" s="88">
        <f t="shared" ref="K2:K14" si="1">IF(ISBLANK(H2),"",IF(ISNA(H2/AVERAGE(D2:H2)-1),"N/A",IF(ISERROR(H2/AVERAGE(D2:H2)-1),"N/A",H2/AVERAGE(D2:H2)-1)))</f>
        <v>-1.7523170699173751E-2</v>
      </c>
      <c r="L2" s="14" t="s">
        <v>485</v>
      </c>
      <c r="M2" s="169" t="s">
        <v>484</v>
      </c>
      <c r="N2" s="49" t="s">
        <v>511</v>
      </c>
    </row>
    <row r="3" spans="1:14" s="2" customFormat="1" x14ac:dyDescent="0.25">
      <c r="A3" s="36" t="s">
        <v>194</v>
      </c>
      <c r="B3" s="14"/>
      <c r="C3" s="15" t="s">
        <v>40</v>
      </c>
      <c r="D3" s="17">
        <v>304.21717000000001</v>
      </c>
      <c r="E3" s="17">
        <v>323.14759000000004</v>
      </c>
      <c r="F3" s="133">
        <v>294.89204999999998</v>
      </c>
      <c r="G3" s="133">
        <v>301.50328999999999</v>
      </c>
      <c r="H3" s="83" t="s">
        <v>93</v>
      </c>
      <c r="I3" s="71" t="str">
        <f t="shared" si="0"/>
        <v>N/A</v>
      </c>
      <c r="J3" s="142">
        <f t="shared" ref="J3:J14" si="2">IF(ISBLANK(H3),"",IF(ISNA(AVERAGE(D3:H3)),"N/A",IF(ISERROR(AVERAGE(D3:H3)),"N/A",AVERAGE(D3:H3))))</f>
        <v>305.94002499999999</v>
      </c>
      <c r="K3" s="71" t="str">
        <f t="shared" si="1"/>
        <v>N/A</v>
      </c>
      <c r="L3" s="14" t="s">
        <v>479</v>
      </c>
      <c r="M3" s="37" t="s">
        <v>480</v>
      </c>
      <c r="N3" s="49"/>
    </row>
    <row r="4" spans="1:14" s="2" customFormat="1" x14ac:dyDescent="0.25">
      <c r="A4" s="36" t="s">
        <v>97</v>
      </c>
      <c r="B4" s="24"/>
      <c r="C4" s="15" t="s">
        <v>40</v>
      </c>
      <c r="D4" s="60">
        <v>174.73782999999997</v>
      </c>
      <c r="E4" s="60">
        <v>181.88028</v>
      </c>
      <c r="F4" s="60">
        <v>164.11415</v>
      </c>
      <c r="G4" s="60">
        <v>166.3784</v>
      </c>
      <c r="H4" s="83" t="s">
        <v>93</v>
      </c>
      <c r="I4" s="71" t="str">
        <f t="shared" si="0"/>
        <v>N/A</v>
      </c>
      <c r="J4" s="142">
        <f t="shared" si="2"/>
        <v>171.77766500000001</v>
      </c>
      <c r="K4" s="71" t="str">
        <f t="shared" si="1"/>
        <v>N/A</v>
      </c>
      <c r="L4" s="14" t="s">
        <v>479</v>
      </c>
      <c r="M4" s="37" t="s">
        <v>480</v>
      </c>
      <c r="N4" s="27"/>
    </row>
    <row r="5" spans="1:14" s="2" customFormat="1" x14ac:dyDescent="0.25">
      <c r="A5" s="36" t="s">
        <v>98</v>
      </c>
      <c r="B5" s="24"/>
      <c r="C5" s="15" t="s">
        <v>47</v>
      </c>
      <c r="D5" s="64">
        <v>0.10610551426348404</v>
      </c>
      <c r="E5" s="64">
        <v>0.11646812877103246</v>
      </c>
      <c r="F5" s="64">
        <v>0.107943072035817</v>
      </c>
      <c r="G5" s="64">
        <v>0.11475553632233999</v>
      </c>
      <c r="H5" s="83" t="s">
        <v>93</v>
      </c>
      <c r="I5" s="71" t="str">
        <f t="shared" si="0"/>
        <v>N/A</v>
      </c>
      <c r="J5" s="142">
        <f t="shared" si="2"/>
        <v>0.11131806284816836</v>
      </c>
      <c r="K5" s="71" t="str">
        <f t="shared" si="1"/>
        <v>N/A</v>
      </c>
      <c r="L5" s="14" t="s">
        <v>479</v>
      </c>
      <c r="M5" s="37" t="s">
        <v>480</v>
      </c>
      <c r="N5" s="27"/>
    </row>
    <row r="6" spans="1:14" s="2" customFormat="1" ht="30" x14ac:dyDescent="0.25">
      <c r="A6" s="36" t="s">
        <v>581</v>
      </c>
      <c r="B6" s="14"/>
      <c r="C6" s="15" t="s">
        <v>45</v>
      </c>
      <c r="D6" s="21">
        <v>1159.8</v>
      </c>
      <c r="E6" s="21">
        <v>1178.058</v>
      </c>
      <c r="F6" s="21">
        <v>1120.982</v>
      </c>
      <c r="G6" s="21">
        <v>1143.600228625</v>
      </c>
      <c r="H6" s="21">
        <v>1082.0647213918153</v>
      </c>
      <c r="I6" s="88">
        <f t="shared" si="0"/>
        <v>-5.3808582486181811E-2</v>
      </c>
      <c r="J6" s="141">
        <f t="shared" si="2"/>
        <v>1136.9009900033632</v>
      </c>
      <c r="K6" s="88">
        <f t="shared" si="1"/>
        <v>-4.8233108330203556E-2</v>
      </c>
      <c r="L6" s="14" t="s">
        <v>481</v>
      </c>
      <c r="M6" s="168" t="s">
        <v>507</v>
      </c>
      <c r="N6" s="49" t="s">
        <v>99</v>
      </c>
    </row>
    <row r="7" spans="1:14" s="2" customFormat="1" x14ac:dyDescent="0.25">
      <c r="A7" s="36" t="s">
        <v>104</v>
      </c>
      <c r="B7" s="14"/>
      <c r="C7" s="16" t="s">
        <v>46</v>
      </c>
      <c r="D7" s="65" t="s">
        <v>447</v>
      </c>
      <c r="E7" s="25">
        <v>51</v>
      </c>
      <c r="F7" s="25">
        <v>49</v>
      </c>
      <c r="G7" s="25">
        <v>50.5</v>
      </c>
      <c r="H7" s="68" t="s">
        <v>93</v>
      </c>
      <c r="I7" s="71" t="str">
        <f t="shared" si="0"/>
        <v>N/A</v>
      </c>
      <c r="J7" s="142">
        <f t="shared" si="2"/>
        <v>50.166666666666664</v>
      </c>
      <c r="K7" s="71" t="str">
        <f t="shared" si="1"/>
        <v>N/A</v>
      </c>
      <c r="L7" s="43" t="s">
        <v>482</v>
      </c>
      <c r="M7" s="44" t="s">
        <v>483</v>
      </c>
      <c r="N7" s="23"/>
    </row>
    <row r="8" spans="1:14" s="2" customFormat="1" x14ac:dyDescent="0.25">
      <c r="A8" s="36" t="s">
        <v>105</v>
      </c>
      <c r="B8" s="14"/>
      <c r="C8" s="16" t="s">
        <v>103</v>
      </c>
      <c r="D8" s="66" t="s">
        <v>448</v>
      </c>
      <c r="E8" s="52">
        <v>7.06</v>
      </c>
      <c r="F8" s="52">
        <v>6.81</v>
      </c>
      <c r="G8" s="52">
        <v>6.99</v>
      </c>
      <c r="H8" s="68" t="s">
        <v>93</v>
      </c>
      <c r="I8" s="71" t="str">
        <f t="shared" si="0"/>
        <v>N/A</v>
      </c>
      <c r="J8" s="142">
        <f t="shared" si="2"/>
        <v>6.9533333333333331</v>
      </c>
      <c r="K8" s="71" t="str">
        <f t="shared" si="1"/>
        <v>N/A</v>
      </c>
      <c r="L8" s="43" t="s">
        <v>482</v>
      </c>
      <c r="M8" s="44" t="s">
        <v>483</v>
      </c>
      <c r="N8" s="23"/>
    </row>
    <row r="9" spans="1:14" s="2" customFormat="1" x14ac:dyDescent="0.25">
      <c r="A9" s="324" t="s">
        <v>14</v>
      </c>
      <c r="B9" s="24" t="s">
        <v>8</v>
      </c>
      <c r="C9" s="16" t="s">
        <v>11</v>
      </c>
      <c r="D9" s="165">
        <v>7.697972</v>
      </c>
      <c r="E9" s="165">
        <v>9.9768740000000005</v>
      </c>
      <c r="F9" s="165">
        <v>9.6103269999999998</v>
      </c>
      <c r="G9" s="165">
        <v>9.5857759999999992</v>
      </c>
      <c r="H9" s="165">
        <v>17.791698</v>
      </c>
      <c r="I9" s="87">
        <f t="shared" si="0"/>
        <v>0.85605192526927421</v>
      </c>
      <c r="J9" s="156">
        <f t="shared" si="2"/>
        <v>10.932529399999998</v>
      </c>
      <c r="K9" s="87">
        <f t="shared" si="1"/>
        <v>0.62740911540562627</v>
      </c>
      <c r="L9" s="14" t="s">
        <v>469</v>
      </c>
      <c r="M9" s="16" t="s">
        <v>470</v>
      </c>
      <c r="N9" s="49"/>
    </row>
    <row r="10" spans="1:14" s="2" customFormat="1" x14ac:dyDescent="0.25">
      <c r="A10" s="324"/>
      <c r="B10" s="26" t="s">
        <v>431</v>
      </c>
      <c r="C10" s="16" t="s">
        <v>11</v>
      </c>
      <c r="D10" s="165">
        <v>2.9383509999999999</v>
      </c>
      <c r="E10" s="165">
        <v>5.3333190000000004</v>
      </c>
      <c r="F10" s="165">
        <v>2.1540240000000002</v>
      </c>
      <c r="G10" s="165">
        <v>3.9554179999999999</v>
      </c>
      <c r="H10" s="165">
        <v>11.632845</v>
      </c>
      <c r="I10" s="87">
        <f t="shared" si="0"/>
        <v>1.9409900546541476</v>
      </c>
      <c r="J10" s="156">
        <f t="shared" si="2"/>
        <v>5.2027913999999997</v>
      </c>
      <c r="K10" s="87">
        <f t="shared" si="1"/>
        <v>1.2358853364753388</v>
      </c>
      <c r="L10" s="14" t="s">
        <v>469</v>
      </c>
      <c r="M10" s="16" t="s">
        <v>470</v>
      </c>
      <c r="N10" s="49"/>
    </row>
    <row r="11" spans="1:14" s="2" customFormat="1" x14ac:dyDescent="0.25">
      <c r="A11" s="324"/>
      <c r="B11" s="26" t="s">
        <v>441</v>
      </c>
      <c r="C11" s="16" t="s">
        <v>11</v>
      </c>
      <c r="D11" s="165">
        <v>4.6359999999999998E-2</v>
      </c>
      <c r="E11" s="165">
        <v>1.6723399999999999</v>
      </c>
      <c r="F11" s="165">
        <v>4.7397130000000001</v>
      </c>
      <c r="G11" s="165">
        <v>2.7436470000000002</v>
      </c>
      <c r="H11" s="165">
        <v>2.7993000000000001</v>
      </c>
      <c r="I11" s="87">
        <f t="shared" si="0"/>
        <v>2.0284315001164455E-2</v>
      </c>
      <c r="J11" s="156">
        <f t="shared" si="2"/>
        <v>2.4002720000000002</v>
      </c>
      <c r="K11" s="87">
        <f t="shared" si="1"/>
        <v>0.16624282581307459</v>
      </c>
      <c r="L11" s="14" t="s">
        <v>469</v>
      </c>
      <c r="M11" s="16" t="s">
        <v>470</v>
      </c>
      <c r="N11" s="49"/>
    </row>
    <row r="12" spans="1:14" s="2" customFormat="1" x14ac:dyDescent="0.25">
      <c r="A12" s="324"/>
      <c r="B12" s="26" t="s">
        <v>442</v>
      </c>
      <c r="C12" s="16" t="s">
        <v>11</v>
      </c>
      <c r="D12" s="165">
        <v>1.3384929999999999</v>
      </c>
      <c r="E12" s="165">
        <v>1.478947</v>
      </c>
      <c r="F12" s="165">
        <v>1.142164</v>
      </c>
      <c r="G12" s="165">
        <v>1.8655349999999999</v>
      </c>
      <c r="H12" s="165">
        <v>1.7445029999999999</v>
      </c>
      <c r="I12" s="87">
        <f t="shared" si="0"/>
        <v>-6.4877903657663882E-2</v>
      </c>
      <c r="J12" s="156">
        <f t="shared" si="2"/>
        <v>1.5139284</v>
      </c>
      <c r="K12" s="87">
        <f t="shared" si="1"/>
        <v>0.15230218285091945</v>
      </c>
      <c r="L12" s="14" t="s">
        <v>469</v>
      </c>
      <c r="M12" s="16" t="s">
        <v>470</v>
      </c>
      <c r="N12" s="49"/>
    </row>
    <row r="13" spans="1:14" s="2" customFormat="1" x14ac:dyDescent="0.25">
      <c r="A13" s="36" t="s">
        <v>10</v>
      </c>
      <c r="B13" s="24" t="s">
        <v>8</v>
      </c>
      <c r="C13" s="16" t="s">
        <v>11</v>
      </c>
      <c r="D13" s="165">
        <v>1.7017599999999999</v>
      </c>
      <c r="E13" s="165">
        <v>1.8455490000000001</v>
      </c>
      <c r="F13" s="165">
        <v>0.940137</v>
      </c>
      <c r="G13" s="165">
        <v>1.1814340000000001</v>
      </c>
      <c r="H13" s="165">
        <v>1.339548</v>
      </c>
      <c r="I13" s="87">
        <f t="shared" si="0"/>
        <v>0.13383227501493944</v>
      </c>
      <c r="J13" s="156">
        <f t="shared" si="2"/>
        <v>1.4016856</v>
      </c>
      <c r="K13" s="87">
        <f t="shared" si="1"/>
        <v>-4.4330625926384593E-2</v>
      </c>
      <c r="L13" s="14" t="s">
        <v>469</v>
      </c>
      <c r="M13" s="16" t="s">
        <v>470</v>
      </c>
      <c r="N13" s="49"/>
    </row>
    <row r="14" spans="1:14" s="2" customFormat="1" ht="15.75" x14ac:dyDescent="0.25">
      <c r="A14" s="226" t="s">
        <v>533</v>
      </c>
      <c r="B14" s="122" t="s">
        <v>8</v>
      </c>
      <c r="C14" s="55" t="s">
        <v>11</v>
      </c>
      <c r="D14" s="222">
        <f t="shared" ref="D14:H14" si="3">D9-D13</f>
        <v>5.9962119999999999</v>
      </c>
      <c r="E14" s="222">
        <f t="shared" si="3"/>
        <v>8.1313250000000004</v>
      </c>
      <c r="F14" s="222">
        <f t="shared" si="3"/>
        <v>8.6701899999999998</v>
      </c>
      <c r="G14" s="222">
        <f t="shared" si="3"/>
        <v>8.4043419999999998</v>
      </c>
      <c r="H14" s="222">
        <f t="shared" si="3"/>
        <v>16.45215</v>
      </c>
      <c r="I14" s="89">
        <f t="shared" si="0"/>
        <v>0.95757740463203422</v>
      </c>
      <c r="J14" s="220">
        <f t="shared" si="2"/>
        <v>9.5308437999999995</v>
      </c>
      <c r="K14" s="89">
        <f t="shared" si="1"/>
        <v>0.72620077983021813</v>
      </c>
      <c r="L14" s="58" t="s">
        <v>469</v>
      </c>
      <c r="M14" s="55" t="s">
        <v>470</v>
      </c>
      <c r="N14" s="49"/>
    </row>
    <row r="15" spans="1:14" x14ac:dyDescent="0.25">
      <c r="A15" s="53" t="s">
        <v>80</v>
      </c>
      <c r="F15" s="12"/>
      <c r="G15" s="12"/>
      <c r="H15" s="12"/>
      <c r="I15" s="12"/>
      <c r="J15" s="12"/>
      <c r="K15" s="12"/>
    </row>
    <row r="16" spans="1:14" ht="17.25" x14ac:dyDescent="0.25">
      <c r="A16" s="81" t="s">
        <v>519</v>
      </c>
      <c r="F16" s="12"/>
      <c r="G16" s="12"/>
      <c r="H16" s="12"/>
      <c r="I16" s="12"/>
      <c r="J16" s="12"/>
      <c r="K16" s="12"/>
    </row>
    <row r="17" spans="1:1" ht="17.25" x14ac:dyDescent="0.25">
      <c r="A17" s="81" t="s">
        <v>532</v>
      </c>
    </row>
    <row r="18" spans="1:1" ht="17.25" x14ac:dyDescent="0.25">
      <c r="A18" s="49" t="s">
        <v>521</v>
      </c>
    </row>
    <row r="19" spans="1:1" ht="17.25" x14ac:dyDescent="0.25">
      <c r="A19" s="49" t="s">
        <v>530</v>
      </c>
    </row>
  </sheetData>
  <mergeCells count="1">
    <mergeCell ref="A9:A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N22"/>
  <sheetViews>
    <sheetView zoomScaleNormal="100" workbookViewId="0">
      <selection activeCell="K24" sqref="K24"/>
    </sheetView>
  </sheetViews>
  <sheetFormatPr defaultColWidth="9.140625" defaultRowHeight="12.75" x14ac:dyDescent="0.2"/>
  <cols>
    <col min="1" max="1" width="33.85546875" style="206" bestFit="1" customWidth="1"/>
    <col min="2" max="2" width="11.28515625" style="206" bestFit="1" customWidth="1"/>
    <col min="3" max="3" width="11.42578125" style="206" customWidth="1"/>
    <col min="4" max="6" width="10.5703125" style="206" bestFit="1" customWidth="1"/>
    <col min="7" max="7" width="10.7109375" style="206" bestFit="1" customWidth="1"/>
    <col min="8" max="8" width="10.7109375" style="206" customWidth="1"/>
    <col min="9" max="10" width="15.140625" style="206" customWidth="1"/>
    <col min="11" max="11" width="15.140625" style="207" customWidth="1"/>
    <col min="12" max="12" width="25.5703125" style="206" bestFit="1" customWidth="1"/>
    <col min="13" max="13" width="255.7109375" style="206" bestFit="1" customWidth="1"/>
    <col min="14" max="14" width="34.7109375" style="192" customWidth="1"/>
    <col min="15" max="16384" width="9.140625" style="192"/>
  </cols>
  <sheetData>
    <row r="1" spans="1:14" s="185" customFormat="1" ht="25.5" x14ac:dyDescent="0.2">
      <c r="A1" s="180" t="s">
        <v>0</v>
      </c>
      <c r="B1" s="181" t="s">
        <v>9</v>
      </c>
      <c r="C1" s="182" t="s">
        <v>1</v>
      </c>
      <c r="D1" s="181" t="str">
        <f>+'Output Table'!C1</f>
        <v>2014-15</v>
      </c>
      <c r="E1" s="181" t="str">
        <f>+'Output Table'!D1</f>
        <v>2015-16</v>
      </c>
      <c r="F1" s="181" t="str">
        <f>+'Output Table'!E1</f>
        <v>2016-17</v>
      </c>
      <c r="G1" s="181" t="str">
        <f>+'Output Table'!F1</f>
        <v>2017-18</v>
      </c>
      <c r="H1" s="181" t="str">
        <f>+'Output Table'!G1</f>
        <v>2018-19e</v>
      </c>
      <c r="I1" s="183" t="s">
        <v>136</v>
      </c>
      <c r="J1" s="183" t="s">
        <v>427</v>
      </c>
      <c r="K1" s="183" t="s">
        <v>422</v>
      </c>
      <c r="L1" s="181" t="s">
        <v>15</v>
      </c>
      <c r="M1" s="182" t="s">
        <v>16</v>
      </c>
      <c r="N1" s="184" t="s">
        <v>17</v>
      </c>
    </row>
    <row r="2" spans="1:14" ht="13.5" customHeight="1" x14ac:dyDescent="0.25">
      <c r="A2" s="186" t="s">
        <v>534</v>
      </c>
      <c r="B2" s="187"/>
      <c r="C2" s="188" t="s">
        <v>11</v>
      </c>
      <c r="D2" s="189">
        <v>1932.70074563</v>
      </c>
      <c r="E2" s="189">
        <v>1863.5829750999999</v>
      </c>
      <c r="F2" s="189">
        <v>2259.7349690000001</v>
      </c>
      <c r="G2" s="189">
        <v>1368.8539899</v>
      </c>
      <c r="H2" s="189">
        <v>734.99778228312516</v>
      </c>
      <c r="I2" s="190">
        <f>IF(ISBLANK(H2),"N/A",IF(ISNA(H2/G2-1),"N/A",IF(ISERROR(H2/G2-1),"N/A",H2/G2-1)))</f>
        <v>-0.46305611284603143</v>
      </c>
      <c r="J2" s="189">
        <f>IF(ISBLANK(H2),"",IF(ISNA(AVERAGE(D2:H2)),"N/A",IF(ISERROR(AVERAGE(D2:H2)),"N/A",AVERAGE(D2:H2))))</f>
        <v>1631.974092382625</v>
      </c>
      <c r="K2" s="190">
        <f>IF(ISBLANK(H2),"",IF(ISNA(H2/AVERAGE(D2:H2)-1),"N/A",IF(ISERROR(H2/AVERAGE(D2:H2)-1),"N/A",H2/AVERAGE(D2:H2)-1)))</f>
        <v>-0.54962656226358708</v>
      </c>
      <c r="L2" s="187" t="s">
        <v>485</v>
      </c>
      <c r="M2" s="191" t="s">
        <v>484</v>
      </c>
      <c r="N2" s="49" t="s">
        <v>511</v>
      </c>
    </row>
    <row r="3" spans="1:14" x14ac:dyDescent="0.2">
      <c r="A3" s="186" t="s">
        <v>20</v>
      </c>
      <c r="B3" s="193"/>
      <c r="C3" s="194" t="s">
        <v>22</v>
      </c>
      <c r="D3" s="195">
        <v>3166.0390000000002</v>
      </c>
      <c r="E3" s="195">
        <v>2932.741</v>
      </c>
      <c r="F3" s="195">
        <v>3248.4169999999999</v>
      </c>
      <c r="G3" s="195">
        <v>2793.4560000000001</v>
      </c>
      <c r="H3" s="195">
        <v>1800</v>
      </c>
      <c r="I3" s="196">
        <f t="shared" ref="I3:I12" si="0">IF(ISBLANK(H3),"N/A",IF(ISNA(H3/G3-1),"N/A",IF(ISERROR(H3/G3-1),"N/A",H3/G3-1)))</f>
        <v>-0.35563688849940722</v>
      </c>
      <c r="J3" s="195">
        <f t="shared" ref="J3:J12" si="1">IF(ISBLANK(H3),"",IF(ISNA(AVERAGE(D3:H3)),"N/A",IF(ISERROR(AVERAGE(D3:H3)),"N/A",AVERAGE(D3:H3))))</f>
        <v>2788.1306</v>
      </c>
      <c r="K3" s="196">
        <f t="shared" ref="K3:K12" si="2">IF(ISBLANK(H3),"",IF(ISNA(H3/AVERAGE(D3:H3)-1),"N/A",IF(ISERROR(H3/AVERAGE(D3:H3)-1),"N/A",H3/AVERAGE(D3:H3)-1)))</f>
        <v>-0.35440613865075044</v>
      </c>
      <c r="L3" s="187" t="s">
        <v>471</v>
      </c>
      <c r="M3" s="197" t="s">
        <v>472</v>
      </c>
      <c r="N3" s="198"/>
    </row>
    <row r="4" spans="1:14" x14ac:dyDescent="0.2">
      <c r="A4" s="186" t="s">
        <v>21</v>
      </c>
      <c r="B4" s="193"/>
      <c r="C4" s="188" t="s">
        <v>23</v>
      </c>
      <c r="D4" s="204">
        <v>2.101575501754716</v>
      </c>
      <c r="E4" s="204">
        <v>2.3519045834596373</v>
      </c>
      <c r="F4" s="204">
        <v>3.0227399992057675</v>
      </c>
      <c r="G4" s="204">
        <v>1.6835210577864836</v>
      </c>
      <c r="H4" s="204">
        <v>1</v>
      </c>
      <c r="I4" s="196">
        <f t="shared" si="0"/>
        <v>-0.40600683586648234</v>
      </c>
      <c r="J4" s="204">
        <f>J5/J3</f>
        <v>2.1428808966122324</v>
      </c>
      <c r="K4" s="196">
        <f t="shared" si="2"/>
        <v>-0.50786147697912254</v>
      </c>
      <c r="L4" s="187" t="s">
        <v>471</v>
      </c>
      <c r="M4" s="197" t="s">
        <v>472</v>
      </c>
      <c r="N4" s="198"/>
    </row>
    <row r="5" spans="1:14" x14ac:dyDescent="0.2">
      <c r="A5" s="186" t="s">
        <v>6</v>
      </c>
      <c r="B5" s="187"/>
      <c r="C5" s="194" t="s">
        <v>12</v>
      </c>
      <c r="D5" s="195">
        <v>6653.67</v>
      </c>
      <c r="E5" s="195">
        <v>6897.527</v>
      </c>
      <c r="F5" s="195">
        <v>9819.1200000000008</v>
      </c>
      <c r="G5" s="195">
        <v>4702.8419999999996</v>
      </c>
      <c r="H5" s="195">
        <v>1800</v>
      </c>
      <c r="I5" s="196">
        <f t="shared" si="0"/>
        <v>-0.61725271654884428</v>
      </c>
      <c r="J5" s="195">
        <f t="shared" si="1"/>
        <v>5974.631800000001</v>
      </c>
      <c r="K5" s="196">
        <f t="shared" si="2"/>
        <v>-0.69872620434953003</v>
      </c>
      <c r="L5" s="187" t="s">
        <v>471</v>
      </c>
      <c r="M5" s="197" t="s">
        <v>472</v>
      </c>
      <c r="N5" s="198"/>
    </row>
    <row r="6" spans="1:14" x14ac:dyDescent="0.2">
      <c r="A6" s="186" t="s">
        <v>7</v>
      </c>
      <c r="B6" s="187"/>
      <c r="C6" s="188" t="s">
        <v>13</v>
      </c>
      <c r="D6" s="199">
        <v>300.05599999999998</v>
      </c>
      <c r="E6" s="199">
        <v>277.00400000000002</v>
      </c>
      <c r="F6" s="199">
        <v>231.49299999999999</v>
      </c>
      <c r="G6" s="199">
        <v>271.95299999999997</v>
      </c>
      <c r="H6" s="199">
        <v>381.5141406792452</v>
      </c>
      <c r="I6" s="190">
        <f t="shared" si="0"/>
        <v>0.40286792452830178</v>
      </c>
      <c r="J6" s="199">
        <f t="shared" si="1"/>
        <v>292.40402813584899</v>
      </c>
      <c r="K6" s="190">
        <f t="shared" si="2"/>
        <v>0.30474994859508642</v>
      </c>
      <c r="L6" s="200" t="s">
        <v>473</v>
      </c>
      <c r="M6" s="201" t="s">
        <v>474</v>
      </c>
      <c r="N6" s="198"/>
    </row>
    <row r="7" spans="1:14" x14ac:dyDescent="0.2">
      <c r="A7" s="323" t="s">
        <v>14</v>
      </c>
      <c r="B7" s="193" t="s">
        <v>8</v>
      </c>
      <c r="C7" s="188" t="s">
        <v>11</v>
      </c>
      <c r="D7" s="216">
        <v>489.43635799999998</v>
      </c>
      <c r="E7" s="216">
        <v>453.273753</v>
      </c>
      <c r="F7" s="216">
        <v>1189.6553739999999</v>
      </c>
      <c r="G7" s="216">
        <v>491.47424599999999</v>
      </c>
      <c r="H7" s="216">
        <v>94.138112000000007</v>
      </c>
      <c r="I7" s="196">
        <f t="shared" si="0"/>
        <v>-0.80845769078203134</v>
      </c>
      <c r="J7" s="216">
        <f t="shared" si="1"/>
        <v>543.59556859999998</v>
      </c>
      <c r="K7" s="196">
        <f t="shared" si="2"/>
        <v>-0.82682325346682384</v>
      </c>
      <c r="L7" s="187" t="s">
        <v>469</v>
      </c>
      <c r="M7" s="188" t="s">
        <v>470</v>
      </c>
    </row>
    <row r="8" spans="1:14" x14ac:dyDescent="0.2">
      <c r="A8" s="323"/>
      <c r="B8" s="202" t="s">
        <v>430</v>
      </c>
      <c r="C8" s="188" t="s">
        <v>11</v>
      </c>
      <c r="D8" s="216">
        <v>38.136888999999996</v>
      </c>
      <c r="E8" s="216">
        <v>38.154375000000002</v>
      </c>
      <c r="F8" s="216">
        <v>128.532937</v>
      </c>
      <c r="G8" s="216">
        <v>111.53571100000001</v>
      </c>
      <c r="H8" s="216">
        <v>20.168037999999999</v>
      </c>
      <c r="I8" s="203">
        <f t="shared" si="0"/>
        <v>-0.81917864853167965</v>
      </c>
      <c r="J8" s="216">
        <f t="shared" si="1"/>
        <v>67.305590000000009</v>
      </c>
      <c r="K8" s="196">
        <f t="shared" si="2"/>
        <v>-0.70035121897007369</v>
      </c>
      <c r="L8" s="187" t="s">
        <v>469</v>
      </c>
      <c r="M8" s="188" t="s">
        <v>470</v>
      </c>
    </row>
    <row r="9" spans="1:14" x14ac:dyDescent="0.2">
      <c r="A9" s="323"/>
      <c r="B9" s="202" t="s">
        <v>435</v>
      </c>
      <c r="C9" s="188" t="s">
        <v>11</v>
      </c>
      <c r="D9" s="216">
        <v>29.328144000000002</v>
      </c>
      <c r="E9" s="216">
        <v>29.408694000000001</v>
      </c>
      <c r="F9" s="216">
        <v>21.377863999999999</v>
      </c>
      <c r="G9" s="216">
        <v>22.825697000000002</v>
      </c>
      <c r="H9" s="216">
        <v>13.515321</v>
      </c>
      <c r="I9" s="196">
        <f t="shared" si="0"/>
        <v>-0.40789010736451992</v>
      </c>
      <c r="J9" s="216">
        <f t="shared" si="1"/>
        <v>23.291144000000003</v>
      </c>
      <c r="K9" s="196">
        <f t="shared" si="2"/>
        <v>-0.41972274955665556</v>
      </c>
      <c r="L9" s="187" t="s">
        <v>469</v>
      </c>
      <c r="M9" s="188" t="s">
        <v>470</v>
      </c>
    </row>
    <row r="10" spans="1:14" x14ac:dyDescent="0.2">
      <c r="A10" s="323"/>
      <c r="B10" s="202" t="s">
        <v>439</v>
      </c>
      <c r="C10" s="188" t="s">
        <v>11</v>
      </c>
      <c r="D10" s="216">
        <v>5.1192669999999998</v>
      </c>
      <c r="E10" s="216">
        <v>0.77992499999999998</v>
      </c>
      <c r="F10" s="216">
        <v>2.7664119999999999</v>
      </c>
      <c r="G10" s="216">
        <v>9.8129139999999992</v>
      </c>
      <c r="H10" s="216">
        <v>21.525977000000001</v>
      </c>
      <c r="I10" s="196">
        <f t="shared" si="0"/>
        <v>1.1936375881822672</v>
      </c>
      <c r="J10" s="216">
        <f t="shared" si="1"/>
        <v>8.0008990000000004</v>
      </c>
      <c r="K10" s="196">
        <f t="shared" si="2"/>
        <v>1.6904447862671432</v>
      </c>
      <c r="L10" s="187" t="s">
        <v>469</v>
      </c>
      <c r="M10" s="188" t="s">
        <v>470</v>
      </c>
    </row>
    <row r="11" spans="1:14" x14ac:dyDescent="0.2">
      <c r="A11" s="186" t="s">
        <v>10</v>
      </c>
      <c r="B11" s="193" t="s">
        <v>8</v>
      </c>
      <c r="C11" s="188" t="s">
        <v>11</v>
      </c>
      <c r="D11" s="216">
        <v>0.43822899999999998</v>
      </c>
      <c r="E11" s="216">
        <v>0.30181200000000002</v>
      </c>
      <c r="F11" s="216">
        <v>0.16347600000000001</v>
      </c>
      <c r="G11" s="216">
        <v>0.40795100000000001</v>
      </c>
      <c r="H11" s="216">
        <v>42.700043999999998</v>
      </c>
      <c r="I11" s="196">
        <f t="shared" si="0"/>
        <v>103.6695411948984</v>
      </c>
      <c r="J11" s="216">
        <f t="shared" si="1"/>
        <v>8.8023023999999985</v>
      </c>
      <c r="K11" s="196">
        <f t="shared" si="2"/>
        <v>3.8510085270417438</v>
      </c>
      <c r="L11" s="187" t="s">
        <v>469</v>
      </c>
      <c r="M11" s="188" t="s">
        <v>470</v>
      </c>
    </row>
    <row r="12" spans="1:14" ht="15" x14ac:dyDescent="0.2">
      <c r="A12" s="226" t="s">
        <v>533</v>
      </c>
      <c r="B12" s="227" t="s">
        <v>8</v>
      </c>
      <c r="C12" s="228" t="s">
        <v>11</v>
      </c>
      <c r="D12" s="229">
        <f t="shared" ref="D12:H12" si="3">D7-D11</f>
        <v>488.99812900000001</v>
      </c>
      <c r="E12" s="229">
        <f t="shared" si="3"/>
        <v>452.97194100000002</v>
      </c>
      <c r="F12" s="229">
        <f t="shared" si="3"/>
        <v>1189.491898</v>
      </c>
      <c r="G12" s="229">
        <f t="shared" si="3"/>
        <v>491.06629499999997</v>
      </c>
      <c r="H12" s="229">
        <f t="shared" si="3"/>
        <v>51.438068000000008</v>
      </c>
      <c r="I12" s="230">
        <f t="shared" si="0"/>
        <v>-0.89525229378652427</v>
      </c>
      <c r="J12" s="229">
        <f t="shared" si="1"/>
        <v>534.79326620000006</v>
      </c>
      <c r="K12" s="230">
        <f t="shared" si="2"/>
        <v>-0.9038169115974557</v>
      </c>
      <c r="L12" s="231" t="s">
        <v>469</v>
      </c>
      <c r="M12" s="228" t="s">
        <v>470</v>
      </c>
    </row>
    <row r="13" spans="1:14" x14ac:dyDescent="0.2">
      <c r="A13" s="205" t="s">
        <v>80</v>
      </c>
      <c r="G13" s="207"/>
      <c r="H13" s="207"/>
      <c r="I13" s="207"/>
      <c r="J13" s="207"/>
      <c r="K13" s="206"/>
    </row>
    <row r="14" spans="1:14" ht="17.25" x14ac:dyDescent="0.25">
      <c r="A14" s="81" t="s">
        <v>519</v>
      </c>
      <c r="K14" s="206"/>
    </row>
    <row r="15" spans="1:14" ht="17.25" x14ac:dyDescent="0.25">
      <c r="A15" s="81" t="s">
        <v>532</v>
      </c>
    </row>
    <row r="16" spans="1:14" ht="17.25" x14ac:dyDescent="0.25">
      <c r="A16" s="49" t="s">
        <v>521</v>
      </c>
    </row>
    <row r="22" spans="4:8" x14ac:dyDescent="0.2">
      <c r="D22" s="192"/>
      <c r="E22" s="192"/>
      <c r="F22" s="208"/>
      <c r="G22" s="208"/>
      <c r="H22" s="208"/>
    </row>
  </sheetData>
  <mergeCells count="1">
    <mergeCell ref="A7:A10"/>
  </mergeCell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FF00"/>
  </sheetPr>
  <dimension ref="A1:N21"/>
  <sheetViews>
    <sheetView workbookViewId="0"/>
  </sheetViews>
  <sheetFormatPr defaultRowHeight="15" x14ac:dyDescent="0.25"/>
  <cols>
    <col min="1" max="1" width="33.85546875" style="12" bestFit="1" customWidth="1"/>
    <col min="2" max="2" width="14.42578125" style="12" bestFit="1" customWidth="1"/>
    <col min="3" max="3" width="15.7109375" style="12" bestFit="1" customWidth="1"/>
    <col min="4" max="5" width="10.5703125" style="12" bestFit="1" customWidth="1"/>
    <col min="6" max="6" width="10.5703125" style="11" bestFit="1" customWidth="1"/>
    <col min="7" max="7" width="10.7109375" style="11" bestFit="1" customWidth="1"/>
    <col min="8" max="8" width="10.7109375" style="11" customWidth="1"/>
    <col min="9" max="10" width="15.7109375" style="11" customWidth="1"/>
    <col min="11" max="11" width="16.85546875" style="13" bestFit="1" customWidth="1"/>
    <col min="12" max="12" width="37" style="12" bestFit="1" customWidth="1"/>
    <col min="13" max="13" width="255.7109375" style="12" bestFit="1" customWidth="1"/>
    <col min="14" max="14" width="34.7109375" style="12" customWidth="1"/>
  </cols>
  <sheetData>
    <row r="1" spans="1:14" s="1" customFormat="1" ht="30" x14ac:dyDescent="0.25">
      <c r="A1" s="33" t="s">
        <v>0</v>
      </c>
      <c r="B1" s="34" t="s">
        <v>9</v>
      </c>
      <c r="C1" s="232" t="s">
        <v>1</v>
      </c>
      <c r="D1" s="34" t="str">
        <f>+'Output Table'!C1</f>
        <v>2014-15</v>
      </c>
      <c r="E1" s="34" t="str">
        <f>+'Output Table'!D1</f>
        <v>2015-16</v>
      </c>
      <c r="F1" s="34" t="str">
        <f>+'Output Table'!E1</f>
        <v>2016-17</v>
      </c>
      <c r="G1" s="34" t="str">
        <f>+'Output Table'!F1</f>
        <v>2017-18</v>
      </c>
      <c r="H1" s="34" t="str">
        <f>+'Output Table'!G1</f>
        <v>2018-19e</v>
      </c>
      <c r="I1" s="39" t="s">
        <v>136</v>
      </c>
      <c r="J1" s="39" t="s">
        <v>428</v>
      </c>
      <c r="K1" s="41" t="s">
        <v>422</v>
      </c>
      <c r="L1" s="34" t="s">
        <v>15</v>
      </c>
      <c r="M1" s="35" t="s">
        <v>16</v>
      </c>
      <c r="N1" s="10" t="s">
        <v>17</v>
      </c>
    </row>
    <row r="2" spans="1:14" s="2" customFormat="1" ht="17.25" x14ac:dyDescent="0.25">
      <c r="A2" s="36" t="s">
        <v>571</v>
      </c>
      <c r="B2" s="14"/>
      <c r="C2" s="105" t="s">
        <v>11</v>
      </c>
      <c r="D2" s="20">
        <f t="shared" ref="D2:E2" si="0">SUM(D3:D4)</f>
        <v>468.96587869428436</v>
      </c>
      <c r="E2" s="20">
        <f t="shared" si="0"/>
        <v>458.13652121027701</v>
      </c>
      <c r="F2" s="20">
        <f>SUM(F3:F4)</f>
        <v>496.010191843901</v>
      </c>
      <c r="G2" s="21">
        <f>SUM(G3:G4)</f>
        <v>543.90184462611705</v>
      </c>
      <c r="H2" s="134">
        <f>SUM(H3:H4)</f>
        <v>577.98661997736849</v>
      </c>
      <c r="I2" s="88">
        <f t="shared" ref="I2:I16" si="1">IF(ISBLANK(H2),"N/A",IF(ISNA(H2/G2-1),"N/A",IF(ISERROR(H2/G2-1),"N/A",H2/G2-1)))</f>
        <v>6.2667144243060191E-2</v>
      </c>
      <c r="J2" s="141">
        <f>IF(ISBLANK(H2),"",IF(ISNA(AVERAGE(D2:H2)),"N/A",IF(ISERROR(AVERAGE(D2:H2)),"N/A",AVERAGE(D2:H2))))</f>
        <v>509.00021127038963</v>
      </c>
      <c r="K2" s="88">
        <f t="shared" ref="K2:K16" si="2">IF(ISBLANK(H2),"",IF(ISNA(H2/AVERAGE(D2:H2)-1),"N/A",IF(ISERROR(H2/AVERAGE(D2:H2)-1),"N/A",H2/AVERAGE(D2:H2)-1)))</f>
        <v>0.13553316320792663</v>
      </c>
      <c r="L2" s="14" t="s">
        <v>475</v>
      </c>
      <c r="M2" s="44" t="s">
        <v>476</v>
      </c>
      <c r="N2" s="49" t="s">
        <v>512</v>
      </c>
    </row>
    <row r="3" spans="1:14" s="2" customFormat="1" ht="17.25" x14ac:dyDescent="0.25">
      <c r="A3" s="36" t="s">
        <v>575</v>
      </c>
      <c r="B3" s="14"/>
      <c r="C3" s="105" t="s">
        <v>11</v>
      </c>
      <c r="D3" s="21">
        <v>347.27632398681936</v>
      </c>
      <c r="E3" s="21">
        <v>343.507646000671</v>
      </c>
      <c r="F3" s="21">
        <v>373.61469852675498</v>
      </c>
      <c r="G3" s="21">
        <v>393.45647978689499</v>
      </c>
      <c r="H3" s="134">
        <v>432.17993525565743</v>
      </c>
      <c r="I3" s="88">
        <f t="shared" si="1"/>
        <v>9.8418649731568664E-2</v>
      </c>
      <c r="J3" s="141">
        <f t="shared" ref="J3:J16" si="3">IF(ISBLANK(H3),"",IF(ISNA(AVERAGE(D3:H3)),"N/A",IF(ISERROR(AVERAGE(D3:H3)),"N/A",AVERAGE(D3:H3))))</f>
        <v>378.0070167113596</v>
      </c>
      <c r="K3" s="88">
        <f t="shared" si="2"/>
        <v>0.14331193906292872</v>
      </c>
      <c r="L3" s="14" t="s">
        <v>475</v>
      </c>
      <c r="M3" s="44" t="s">
        <v>476</v>
      </c>
      <c r="N3" s="49" t="s">
        <v>512</v>
      </c>
    </row>
    <row r="4" spans="1:14" s="2" customFormat="1" ht="17.25" x14ac:dyDescent="0.25">
      <c r="A4" s="36" t="s">
        <v>576</v>
      </c>
      <c r="B4" s="14"/>
      <c r="C4" s="105" t="s">
        <v>11</v>
      </c>
      <c r="D4" s="21">
        <v>121.68955470746499</v>
      </c>
      <c r="E4" s="21">
        <v>114.62887520960599</v>
      </c>
      <c r="F4" s="21">
        <v>122.39549331714601</v>
      </c>
      <c r="G4" s="21">
        <v>150.44536483922212</v>
      </c>
      <c r="H4" s="134">
        <v>145.80668472171104</v>
      </c>
      <c r="I4" s="88">
        <f t="shared" si="1"/>
        <v>-3.0832987925339839E-2</v>
      </c>
      <c r="J4" s="141">
        <f t="shared" si="3"/>
        <v>130.99319455903003</v>
      </c>
      <c r="K4" s="88">
        <f t="shared" si="2"/>
        <v>0.11308595238514885</v>
      </c>
      <c r="L4" s="14" t="s">
        <v>475</v>
      </c>
      <c r="M4" s="44" t="s">
        <v>476</v>
      </c>
      <c r="N4" s="49" t="s">
        <v>512</v>
      </c>
    </row>
    <row r="5" spans="1:14" s="2" customFormat="1" x14ac:dyDescent="0.25">
      <c r="A5" s="36" t="s">
        <v>175</v>
      </c>
      <c r="B5" s="24"/>
      <c r="C5" s="106" t="s">
        <v>22</v>
      </c>
      <c r="D5" s="21">
        <v>305.7</v>
      </c>
      <c r="E5" s="21">
        <v>307.10000000000002</v>
      </c>
      <c r="F5" s="21">
        <v>307.10000000000002</v>
      </c>
      <c r="G5" s="21">
        <v>306</v>
      </c>
      <c r="H5" s="68" t="s">
        <v>93</v>
      </c>
      <c r="I5" s="71" t="str">
        <f t="shared" si="1"/>
        <v>N/A</v>
      </c>
      <c r="J5" s="142">
        <f t="shared" si="3"/>
        <v>306.47500000000002</v>
      </c>
      <c r="K5" s="71" t="str">
        <f t="shared" si="2"/>
        <v>N/A</v>
      </c>
      <c r="L5" s="14" t="s">
        <v>475</v>
      </c>
      <c r="M5" s="44" t="s">
        <v>476</v>
      </c>
      <c r="N5" s="49"/>
    </row>
    <row r="6" spans="1:14" s="2" customFormat="1" x14ac:dyDescent="0.25">
      <c r="A6" s="36" t="s">
        <v>176</v>
      </c>
      <c r="B6" s="14"/>
      <c r="C6" s="106" t="s">
        <v>22</v>
      </c>
      <c r="D6" s="21">
        <v>87.1</v>
      </c>
      <c r="E6" s="21">
        <v>87.1</v>
      </c>
      <c r="F6" s="21">
        <v>87.1</v>
      </c>
      <c r="G6" s="21">
        <v>87.1</v>
      </c>
      <c r="H6" s="68" t="s">
        <v>93</v>
      </c>
      <c r="I6" s="71" t="str">
        <f t="shared" si="1"/>
        <v>N/A</v>
      </c>
      <c r="J6" s="142">
        <f t="shared" si="3"/>
        <v>87.1</v>
      </c>
      <c r="K6" s="71" t="str">
        <f t="shared" si="2"/>
        <v>N/A</v>
      </c>
      <c r="L6" s="14" t="s">
        <v>475</v>
      </c>
      <c r="M6" s="44" t="s">
        <v>476</v>
      </c>
      <c r="N6" s="49"/>
    </row>
    <row r="7" spans="1:14" s="2" customFormat="1" ht="17.25" x14ac:dyDescent="0.25">
      <c r="A7" s="36" t="s">
        <v>143</v>
      </c>
      <c r="B7" s="14"/>
      <c r="C7" s="106" t="s">
        <v>110</v>
      </c>
      <c r="D7" s="134">
        <v>4505.1747779999996</v>
      </c>
      <c r="E7" s="134">
        <v>4650.8656440000004</v>
      </c>
      <c r="F7" s="134">
        <v>4957.2398940000003</v>
      </c>
      <c r="G7" s="134">
        <v>4992.9249980000004</v>
      </c>
      <c r="H7" s="68" t="s">
        <v>93</v>
      </c>
      <c r="I7" s="71" t="str">
        <f t="shared" si="1"/>
        <v>N/A</v>
      </c>
      <c r="J7" s="142">
        <f t="shared" si="3"/>
        <v>4776.5513284999997</v>
      </c>
      <c r="K7" s="71" t="str">
        <f t="shared" si="2"/>
        <v>N/A</v>
      </c>
      <c r="L7" s="14" t="s">
        <v>475</v>
      </c>
      <c r="M7" s="44" t="s">
        <v>476</v>
      </c>
      <c r="N7" s="27"/>
    </row>
    <row r="8" spans="1:14" s="2" customFormat="1" ht="17.25" x14ac:dyDescent="0.25">
      <c r="A8" s="36" t="s">
        <v>144</v>
      </c>
      <c r="B8" s="14"/>
      <c r="C8" s="106" t="s">
        <v>110</v>
      </c>
      <c r="D8" s="134">
        <v>995.95482729719106</v>
      </c>
      <c r="E8" s="134">
        <v>939.28181688300799</v>
      </c>
      <c r="F8" s="134">
        <v>1022.7533807000011</v>
      </c>
      <c r="G8" s="134">
        <v>1231.295153</v>
      </c>
      <c r="H8" s="68" t="s">
        <v>93</v>
      </c>
      <c r="I8" s="71" t="str">
        <f t="shared" si="1"/>
        <v>N/A</v>
      </c>
      <c r="J8" s="142">
        <f t="shared" si="3"/>
        <v>1047.3212944700501</v>
      </c>
      <c r="K8" s="71" t="str">
        <f t="shared" si="2"/>
        <v>N/A</v>
      </c>
      <c r="L8" s="14" t="s">
        <v>475</v>
      </c>
      <c r="M8" s="44" t="s">
        <v>476</v>
      </c>
      <c r="N8" s="27"/>
    </row>
    <row r="9" spans="1:14" s="2" customFormat="1" ht="17.25" x14ac:dyDescent="0.25">
      <c r="A9" s="36" t="s">
        <v>577</v>
      </c>
      <c r="B9" s="14"/>
      <c r="C9" s="105" t="s">
        <v>111</v>
      </c>
      <c r="D9" s="30">
        <f t="shared" ref="D9:G9" si="4">(D3*1000000)/(D7*1000)</f>
        <v>77.083873789461975</v>
      </c>
      <c r="E9" s="21">
        <f t="shared" si="4"/>
        <v>73.858862477316279</v>
      </c>
      <c r="F9" s="21">
        <f t="shared" si="4"/>
        <v>75.367484026536587</v>
      </c>
      <c r="G9" s="134">
        <f t="shared" si="4"/>
        <v>78.802801953664542</v>
      </c>
      <c r="H9" s="68" t="s">
        <v>93</v>
      </c>
      <c r="I9" s="71" t="str">
        <f t="shared" si="1"/>
        <v>N/A</v>
      </c>
      <c r="J9" s="142">
        <f t="shared" si="3"/>
        <v>76.278255561744842</v>
      </c>
      <c r="K9" s="71" t="str">
        <f t="shared" si="2"/>
        <v>N/A</v>
      </c>
      <c r="L9" s="14" t="s">
        <v>475</v>
      </c>
      <c r="M9" s="44" t="s">
        <v>476</v>
      </c>
      <c r="N9" s="27" t="s">
        <v>60</v>
      </c>
    </row>
    <row r="10" spans="1:14" s="2" customFormat="1" ht="17.25" x14ac:dyDescent="0.25">
      <c r="A10" s="36" t="s">
        <v>578</v>
      </c>
      <c r="B10" s="14"/>
      <c r="C10" s="105" t="s">
        <v>111</v>
      </c>
      <c r="D10" s="30">
        <f t="shared" ref="D10:G10" si="5">(D4*1000000)/(D8*1000)</f>
        <v>122.18380931764193</v>
      </c>
      <c r="E10" s="21">
        <f t="shared" si="5"/>
        <v>122.03885260975254</v>
      </c>
      <c r="F10" s="21">
        <f t="shared" si="5"/>
        <v>119.67253848955757</v>
      </c>
      <c r="G10" s="134">
        <f t="shared" si="5"/>
        <v>122.18464798847636</v>
      </c>
      <c r="H10" s="68" t="s">
        <v>93</v>
      </c>
      <c r="I10" s="71" t="str">
        <f t="shared" si="1"/>
        <v>N/A</v>
      </c>
      <c r="J10" s="142">
        <f t="shared" si="3"/>
        <v>121.51996210135709</v>
      </c>
      <c r="K10" s="71" t="str">
        <f t="shared" si="2"/>
        <v>N/A</v>
      </c>
      <c r="L10" s="14" t="s">
        <v>475</v>
      </c>
      <c r="M10" s="44" t="s">
        <v>476</v>
      </c>
      <c r="N10" s="27" t="s">
        <v>60</v>
      </c>
    </row>
    <row r="11" spans="1:14" s="2" customFormat="1" x14ac:dyDescent="0.25">
      <c r="A11" s="324" t="s">
        <v>14</v>
      </c>
      <c r="B11" s="24" t="s">
        <v>8</v>
      </c>
      <c r="C11" s="105" t="s">
        <v>11</v>
      </c>
      <c r="D11" s="165">
        <v>91.270089999999996</v>
      </c>
      <c r="E11" s="165">
        <v>91.576611999999997</v>
      </c>
      <c r="F11" s="165">
        <v>138.33978400000001</v>
      </c>
      <c r="G11" s="165">
        <v>146.92478600000001</v>
      </c>
      <c r="H11" s="165">
        <v>166.938265</v>
      </c>
      <c r="I11" s="87">
        <f t="shared" si="1"/>
        <v>0.13621581180999631</v>
      </c>
      <c r="J11" s="156">
        <f t="shared" si="3"/>
        <v>127.0099074</v>
      </c>
      <c r="K11" s="87">
        <f t="shared" si="2"/>
        <v>0.3143719920545347</v>
      </c>
      <c r="L11" s="14" t="s">
        <v>469</v>
      </c>
      <c r="M11" s="16" t="s">
        <v>470</v>
      </c>
      <c r="N11" s="49"/>
    </row>
    <row r="12" spans="1:14" s="2" customFormat="1" x14ac:dyDescent="0.25">
      <c r="A12" s="324"/>
      <c r="B12" s="26" t="s">
        <v>431</v>
      </c>
      <c r="C12" s="105" t="s">
        <v>11</v>
      </c>
      <c r="D12" s="165">
        <v>67.175366999999994</v>
      </c>
      <c r="E12" s="165">
        <v>67.637573000000003</v>
      </c>
      <c r="F12" s="165">
        <v>110.707849</v>
      </c>
      <c r="G12" s="165">
        <v>127.26960099999999</v>
      </c>
      <c r="H12" s="165">
        <v>141.966385</v>
      </c>
      <c r="I12" s="87">
        <f t="shared" si="1"/>
        <v>0.11547756797006081</v>
      </c>
      <c r="J12" s="156">
        <f t="shared" si="3"/>
        <v>102.95135500000001</v>
      </c>
      <c r="K12" s="87">
        <f t="shared" si="2"/>
        <v>0.37896567752799371</v>
      </c>
      <c r="L12" s="14" t="s">
        <v>469</v>
      </c>
      <c r="M12" s="16" t="s">
        <v>470</v>
      </c>
      <c r="N12" s="49"/>
    </row>
    <row r="13" spans="1:14" s="2" customFormat="1" x14ac:dyDescent="0.25">
      <c r="A13" s="324"/>
      <c r="B13" s="26" t="s">
        <v>436</v>
      </c>
      <c r="C13" s="105" t="s">
        <v>11</v>
      </c>
      <c r="D13" s="165">
        <v>11.225510999999999</v>
      </c>
      <c r="E13" s="165">
        <v>9.1312309999999997</v>
      </c>
      <c r="F13" s="165">
        <v>15.720196</v>
      </c>
      <c r="G13" s="165">
        <v>8.181203</v>
      </c>
      <c r="H13" s="165">
        <v>8.3387419999999999</v>
      </c>
      <c r="I13" s="87">
        <f t="shared" si="1"/>
        <v>1.925621452004056E-2</v>
      </c>
      <c r="J13" s="156">
        <f t="shared" si="3"/>
        <v>10.519376599999998</v>
      </c>
      <c r="K13" s="87">
        <f t="shared" si="2"/>
        <v>-0.20729694191193782</v>
      </c>
      <c r="L13" s="14" t="s">
        <v>469</v>
      </c>
      <c r="M13" s="16" t="s">
        <v>470</v>
      </c>
      <c r="N13" s="49"/>
    </row>
    <row r="14" spans="1:14" s="2" customFormat="1" x14ac:dyDescent="0.25">
      <c r="A14" s="324"/>
      <c r="B14" s="26" t="s">
        <v>435</v>
      </c>
      <c r="C14" s="105" t="s">
        <v>11</v>
      </c>
      <c r="D14" s="165">
        <v>1.7976049999999999</v>
      </c>
      <c r="E14" s="165">
        <v>2.0819529999999999</v>
      </c>
      <c r="F14" s="165">
        <v>2.537382</v>
      </c>
      <c r="G14" s="165">
        <v>2.5424039999999999</v>
      </c>
      <c r="H14" s="165">
        <v>2.9580350000000002</v>
      </c>
      <c r="I14" s="87">
        <f t="shared" si="1"/>
        <v>0.16347952567727253</v>
      </c>
      <c r="J14" s="156">
        <f t="shared" si="3"/>
        <v>2.3834758000000003</v>
      </c>
      <c r="K14" s="87">
        <f t="shared" si="2"/>
        <v>0.24105938059031273</v>
      </c>
      <c r="L14" s="14" t="s">
        <v>469</v>
      </c>
      <c r="M14" s="16" t="s">
        <v>470</v>
      </c>
      <c r="N14" s="49"/>
    </row>
    <row r="15" spans="1:14" s="2" customFormat="1" x14ac:dyDescent="0.25">
      <c r="A15" s="36" t="s">
        <v>10</v>
      </c>
      <c r="B15" s="24" t="s">
        <v>8</v>
      </c>
      <c r="C15" s="105" t="s">
        <v>11</v>
      </c>
      <c r="D15" s="165">
        <v>136.73294000000001</v>
      </c>
      <c r="E15" s="165">
        <v>121.351782</v>
      </c>
      <c r="F15" s="165">
        <v>120.193285</v>
      </c>
      <c r="G15" s="165">
        <v>134.63360599999999</v>
      </c>
      <c r="H15" s="165">
        <v>135.98905999999999</v>
      </c>
      <c r="I15" s="87">
        <f t="shared" si="1"/>
        <v>1.0067724101514575E-2</v>
      </c>
      <c r="J15" s="156">
        <f t="shared" si="3"/>
        <v>129.7801346</v>
      </c>
      <c r="K15" s="87">
        <f t="shared" si="2"/>
        <v>4.7841878259232473E-2</v>
      </c>
      <c r="L15" s="14" t="s">
        <v>469</v>
      </c>
      <c r="M15" s="16" t="s">
        <v>470</v>
      </c>
      <c r="N15" s="49"/>
    </row>
    <row r="16" spans="1:14" s="2" customFormat="1" ht="15.75" x14ac:dyDescent="0.25">
      <c r="A16" s="226" t="s">
        <v>533</v>
      </c>
      <c r="B16" s="122" t="s">
        <v>8</v>
      </c>
      <c r="C16" s="233" t="s">
        <v>11</v>
      </c>
      <c r="D16" s="222">
        <f t="shared" ref="D16:H16" si="6">D11-D15</f>
        <v>-45.462850000000017</v>
      </c>
      <c r="E16" s="222">
        <f t="shared" si="6"/>
        <v>-29.775170000000003</v>
      </c>
      <c r="F16" s="222">
        <f t="shared" si="6"/>
        <v>18.146499000000006</v>
      </c>
      <c r="G16" s="222">
        <f t="shared" si="6"/>
        <v>12.291180000000026</v>
      </c>
      <c r="H16" s="222">
        <f t="shared" si="6"/>
        <v>30.949205000000006</v>
      </c>
      <c r="I16" s="89">
        <f t="shared" si="1"/>
        <v>1.5180011195019469</v>
      </c>
      <c r="J16" s="220">
        <f t="shared" si="3"/>
        <v>-2.7702271999999963</v>
      </c>
      <c r="K16" s="89">
        <f t="shared" si="2"/>
        <v>-12.172081842240249</v>
      </c>
      <c r="L16" s="61" t="s">
        <v>469</v>
      </c>
      <c r="M16" s="62" t="s">
        <v>470</v>
      </c>
      <c r="N16" s="49"/>
    </row>
    <row r="17" spans="1:11" x14ac:dyDescent="0.25">
      <c r="A17" s="53" t="s">
        <v>80</v>
      </c>
      <c r="F17" s="12"/>
      <c r="G17" s="12"/>
      <c r="H17" s="12"/>
      <c r="I17" s="12"/>
      <c r="J17" s="12"/>
      <c r="K17" s="12"/>
    </row>
    <row r="18" spans="1:11" ht="17.25" x14ac:dyDescent="0.25">
      <c r="A18" s="81" t="s">
        <v>519</v>
      </c>
      <c r="F18" s="12"/>
      <c r="G18" s="12"/>
      <c r="H18" s="12"/>
      <c r="I18" s="12"/>
      <c r="J18" s="12"/>
      <c r="K18" s="12"/>
    </row>
    <row r="19" spans="1:11" ht="16.5" customHeight="1" x14ac:dyDescent="0.25">
      <c r="A19" s="49" t="s">
        <v>579</v>
      </c>
    </row>
    <row r="20" spans="1:11" ht="17.25" x14ac:dyDescent="0.25">
      <c r="A20" s="49" t="s">
        <v>521</v>
      </c>
    </row>
    <row r="21" spans="1:11" ht="17.25" x14ac:dyDescent="0.25">
      <c r="A21" s="81" t="s">
        <v>580</v>
      </c>
    </row>
  </sheetData>
  <mergeCells count="1">
    <mergeCell ref="A11:A1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00"/>
  </sheetPr>
  <dimension ref="A1:N18"/>
  <sheetViews>
    <sheetView workbookViewId="0"/>
  </sheetViews>
  <sheetFormatPr defaultRowHeight="15" x14ac:dyDescent="0.25"/>
  <cols>
    <col min="1" max="1" width="33.85546875" style="12" bestFit="1" customWidth="1"/>
    <col min="2" max="2" width="14.42578125" style="12" bestFit="1" customWidth="1"/>
    <col min="3" max="3" width="15.7109375" style="12" bestFit="1" customWidth="1"/>
    <col min="4" max="4" width="10.5703125" style="12" bestFit="1" customWidth="1"/>
    <col min="5" max="5" width="11.5703125" style="12" bestFit="1" customWidth="1"/>
    <col min="6" max="6" width="10.5703125" style="11" bestFit="1" customWidth="1"/>
    <col min="7" max="7" width="10.7109375" style="11" bestFit="1" customWidth="1"/>
    <col min="8" max="8" width="10.7109375" style="11" customWidth="1"/>
    <col min="9" max="10" width="13.85546875" style="11" customWidth="1"/>
    <col min="11" max="11" width="16.140625" style="13" customWidth="1"/>
    <col min="12" max="12" width="37" style="12" bestFit="1" customWidth="1"/>
    <col min="13" max="13" width="197.7109375" style="12" bestFit="1" customWidth="1"/>
    <col min="14" max="14" width="34.7109375" style="12" customWidth="1"/>
  </cols>
  <sheetData>
    <row r="1" spans="1:14" s="1" customFormat="1" ht="27.75" customHeight="1" x14ac:dyDescent="0.25">
      <c r="A1" s="33" t="s">
        <v>0</v>
      </c>
      <c r="B1" s="34" t="s">
        <v>9</v>
      </c>
      <c r="C1" s="232" t="s">
        <v>1</v>
      </c>
      <c r="D1" s="33" t="str">
        <f>+'Output Table'!C1</f>
        <v>2014-15</v>
      </c>
      <c r="E1" s="34" t="str">
        <f>+'Output Table'!D1</f>
        <v>2015-16</v>
      </c>
      <c r="F1" s="34" t="str">
        <f>+'Output Table'!E1</f>
        <v>2016-17</v>
      </c>
      <c r="G1" s="34" t="str">
        <f>+'Output Table'!F1</f>
        <v>2017-18</v>
      </c>
      <c r="H1" s="34" t="str">
        <f>+'Output Table'!G1</f>
        <v>2018-19e</v>
      </c>
      <c r="I1" s="39" t="s">
        <v>136</v>
      </c>
      <c r="J1" s="39" t="s">
        <v>428</v>
      </c>
      <c r="K1" s="41" t="s">
        <v>422</v>
      </c>
      <c r="L1" s="34" t="s">
        <v>15</v>
      </c>
      <c r="M1" s="35" t="s">
        <v>16</v>
      </c>
      <c r="N1" s="10" t="s">
        <v>17</v>
      </c>
    </row>
    <row r="2" spans="1:14" s="2" customFormat="1" ht="17.25" x14ac:dyDescent="0.25">
      <c r="A2" s="36" t="s">
        <v>571</v>
      </c>
      <c r="B2" s="14"/>
      <c r="C2" s="105" t="s">
        <v>11</v>
      </c>
      <c r="D2" s="50">
        <f>SUM(D3:D4)</f>
        <v>147.43613999999999</v>
      </c>
      <c r="E2" s="20">
        <f t="shared" ref="E2:G2" si="0">SUM(E3:E4)</f>
        <v>155.96530300000001</v>
      </c>
      <c r="F2" s="20">
        <f t="shared" si="0"/>
        <v>159.31746199999998</v>
      </c>
      <c r="G2" s="20">
        <f t="shared" si="0"/>
        <v>177.92971731838992</v>
      </c>
      <c r="H2" s="21">
        <f>SUM(H3:H4)</f>
        <v>181.28608111864889</v>
      </c>
      <c r="I2" s="88">
        <f t="shared" ref="I2:I13" si="1">IF(ISBLANK(H2),"N/A",IF(ISNA(H2/G2-1),"N/A",IF(ISERROR(H2/G2-1),"N/A",H2/G2-1)))</f>
        <v>1.8863424563604791E-2</v>
      </c>
      <c r="J2" s="141">
        <f>IF(ISBLANK(H2),"",IF(ISNA(AVERAGE(D2:H2)),"N/A",IF(ISERROR(AVERAGE(D2:H2)),"N/A",AVERAGE(D2:H2))))</f>
        <v>164.38694068740776</v>
      </c>
      <c r="K2" s="88">
        <f t="shared" ref="K2:K13" si="2">IF(ISBLANK(H2),"",IF(ISNA(H2/AVERAGE(D2:H2)-1),"N/A",IF(ISERROR(H2/AVERAGE(D2:H2)-1),"N/A",H2/AVERAGE(D2:H2)-1)))</f>
        <v>0.10280099112846153</v>
      </c>
      <c r="L2" s="14"/>
      <c r="M2" s="37" t="s">
        <v>113</v>
      </c>
      <c r="N2" s="49" t="s">
        <v>511</v>
      </c>
    </row>
    <row r="3" spans="1:14" s="2" customFormat="1" ht="17.25" x14ac:dyDescent="0.25">
      <c r="A3" s="36" t="s">
        <v>572</v>
      </c>
      <c r="B3" s="14"/>
      <c r="C3" s="105" t="s">
        <v>11</v>
      </c>
      <c r="D3" s="50">
        <v>60.659820000000003</v>
      </c>
      <c r="E3" s="20">
        <v>64.885302999999993</v>
      </c>
      <c r="F3" s="20">
        <v>70.014461999999995</v>
      </c>
      <c r="G3" s="20">
        <v>78.442234999999997</v>
      </c>
      <c r="H3" s="21">
        <v>80.100033194489995</v>
      </c>
      <c r="I3" s="88">
        <f t="shared" si="1"/>
        <v>2.1133999999999986E-2</v>
      </c>
      <c r="J3" s="141">
        <f t="shared" ref="J3:J13" si="3">IF(ISBLANK(H3),"",IF(ISNA(AVERAGE(D3:H3)),"N/A",IF(ISERROR(AVERAGE(D3:H3)),"N/A",AVERAGE(D3:H3))))</f>
        <v>70.820370638897984</v>
      </c>
      <c r="K3" s="88">
        <f t="shared" si="2"/>
        <v>0.13103097981381029</v>
      </c>
      <c r="L3" s="14" t="s">
        <v>494</v>
      </c>
      <c r="M3" s="37" t="s">
        <v>495</v>
      </c>
      <c r="N3" s="49" t="s">
        <v>511</v>
      </c>
    </row>
    <row r="4" spans="1:14" s="2" customFormat="1" ht="17.25" x14ac:dyDescent="0.25">
      <c r="A4" s="36" t="s">
        <v>573</v>
      </c>
      <c r="B4" s="14"/>
      <c r="C4" s="105" t="s">
        <v>11</v>
      </c>
      <c r="D4" s="50">
        <v>86.776319999999998</v>
      </c>
      <c r="E4" s="20">
        <v>91.08</v>
      </c>
      <c r="F4" s="20">
        <v>89.302999999999997</v>
      </c>
      <c r="G4" s="20">
        <v>99.487482318389908</v>
      </c>
      <c r="H4" s="21">
        <v>101.1860479241589</v>
      </c>
      <c r="I4" s="88">
        <f t="shared" si="1"/>
        <v>1.7073159016458561E-2</v>
      </c>
      <c r="J4" s="141">
        <f t="shared" si="3"/>
        <v>93.56657004850976</v>
      </c>
      <c r="K4" s="88">
        <f t="shared" si="2"/>
        <v>8.143376284605508E-2</v>
      </c>
      <c r="L4" s="14" t="s">
        <v>492</v>
      </c>
      <c r="M4" s="37" t="s">
        <v>493</v>
      </c>
      <c r="N4" s="49" t="s">
        <v>511</v>
      </c>
    </row>
    <row r="5" spans="1:14" s="2" customFormat="1" x14ac:dyDescent="0.25">
      <c r="A5" s="36" t="s">
        <v>116</v>
      </c>
      <c r="B5" s="14"/>
      <c r="C5" s="106" t="s">
        <v>115</v>
      </c>
      <c r="D5" s="30">
        <v>5.0420150000000001</v>
      </c>
      <c r="E5" s="21">
        <v>5.5258989999999999</v>
      </c>
      <c r="F5" s="21">
        <v>5.7422129999999996</v>
      </c>
      <c r="G5" s="164">
        <v>6.1573089999999997</v>
      </c>
      <c r="H5" s="68" t="s">
        <v>93</v>
      </c>
      <c r="I5" s="71" t="str">
        <f t="shared" si="1"/>
        <v>N/A</v>
      </c>
      <c r="J5" s="142">
        <f t="shared" si="3"/>
        <v>5.6168589999999998</v>
      </c>
      <c r="K5" s="71" t="str">
        <f t="shared" si="2"/>
        <v>N/A</v>
      </c>
      <c r="L5" s="14" t="s">
        <v>494</v>
      </c>
      <c r="M5" s="37" t="s">
        <v>495</v>
      </c>
      <c r="N5" s="27"/>
    </row>
    <row r="6" spans="1:14" s="2" customFormat="1" x14ac:dyDescent="0.25">
      <c r="A6" s="36" t="s">
        <v>117</v>
      </c>
      <c r="B6" s="14"/>
      <c r="C6" s="106" t="s">
        <v>12</v>
      </c>
      <c r="D6" s="30">
        <v>13.625999999999999</v>
      </c>
      <c r="E6" s="21">
        <v>12.048999999999999</v>
      </c>
      <c r="F6" s="21">
        <v>11.741</v>
      </c>
      <c r="G6" s="134">
        <v>10.5745</v>
      </c>
      <c r="H6" s="68" t="s">
        <v>93</v>
      </c>
      <c r="I6" s="71" t="str">
        <f t="shared" si="1"/>
        <v>N/A</v>
      </c>
      <c r="J6" s="142">
        <f t="shared" si="3"/>
        <v>11.997624999999999</v>
      </c>
      <c r="K6" s="71" t="str">
        <f t="shared" si="2"/>
        <v>N/A</v>
      </c>
      <c r="L6" s="14" t="s">
        <v>492</v>
      </c>
      <c r="M6" s="37" t="s">
        <v>493</v>
      </c>
      <c r="N6" s="27"/>
    </row>
    <row r="7" spans="1:14" s="2" customFormat="1" ht="17.25" x14ac:dyDescent="0.25">
      <c r="A7" s="36" t="s">
        <v>574</v>
      </c>
      <c r="B7" s="14"/>
      <c r="C7" s="105" t="s">
        <v>84</v>
      </c>
      <c r="D7" s="21">
        <v>107.52500000000001</v>
      </c>
      <c r="E7" s="21">
        <v>108.64999999999999</v>
      </c>
      <c r="F7" s="21">
        <v>110.75</v>
      </c>
      <c r="G7" s="21">
        <v>113.02500000000001</v>
      </c>
      <c r="H7" s="21">
        <v>116</v>
      </c>
      <c r="I7" s="87">
        <f t="shared" si="1"/>
        <v>2.6321610263216E-2</v>
      </c>
      <c r="J7" s="140">
        <f t="shared" si="3"/>
        <v>111.19000000000001</v>
      </c>
      <c r="K7" s="88">
        <f t="shared" si="2"/>
        <v>4.3259285907006007E-2</v>
      </c>
      <c r="L7" s="14" t="s">
        <v>477</v>
      </c>
      <c r="M7" s="37" t="s">
        <v>478</v>
      </c>
      <c r="N7" s="23"/>
    </row>
    <row r="8" spans="1:14" s="2" customFormat="1" x14ac:dyDescent="0.25">
      <c r="A8" s="324" t="s">
        <v>14</v>
      </c>
      <c r="B8" s="24" t="s">
        <v>8</v>
      </c>
      <c r="C8" s="105" t="s">
        <v>11</v>
      </c>
      <c r="D8" s="170">
        <v>12.450193000000001</v>
      </c>
      <c r="E8" s="165">
        <v>12.267027000000001</v>
      </c>
      <c r="F8" s="165">
        <v>10.866002</v>
      </c>
      <c r="G8" s="165">
        <v>9.2298249999999999</v>
      </c>
      <c r="H8" s="165">
        <v>9.3578620000000008</v>
      </c>
      <c r="I8" s="87">
        <f t="shared" si="1"/>
        <v>1.3872093999615531E-2</v>
      </c>
      <c r="J8" s="156">
        <f t="shared" si="3"/>
        <v>10.8341818</v>
      </c>
      <c r="K8" s="87">
        <f t="shared" si="2"/>
        <v>-0.13626500157123067</v>
      </c>
      <c r="L8" s="14" t="s">
        <v>469</v>
      </c>
      <c r="M8" s="16" t="s">
        <v>470</v>
      </c>
      <c r="N8" s="49"/>
    </row>
    <row r="9" spans="1:14" s="2" customFormat="1" x14ac:dyDescent="0.25">
      <c r="A9" s="324"/>
      <c r="B9" s="26" t="s">
        <v>439</v>
      </c>
      <c r="C9" s="105" t="s">
        <v>11</v>
      </c>
      <c r="D9" s="170">
        <v>1.4587159999999999</v>
      </c>
      <c r="E9" s="165">
        <v>1.6326639999999999</v>
      </c>
      <c r="F9" s="165">
        <v>2.2134779999999998</v>
      </c>
      <c r="G9" s="165">
        <v>2.2338550000000001</v>
      </c>
      <c r="H9" s="165">
        <v>2.2032310000000002</v>
      </c>
      <c r="I9" s="87">
        <f t="shared" si="1"/>
        <v>-1.3709036620550563E-2</v>
      </c>
      <c r="J9" s="156">
        <f t="shared" si="3"/>
        <v>1.9483888</v>
      </c>
      <c r="K9" s="87">
        <f t="shared" si="2"/>
        <v>0.13079637903892705</v>
      </c>
      <c r="L9" s="14" t="s">
        <v>469</v>
      </c>
      <c r="M9" s="16" t="s">
        <v>470</v>
      </c>
      <c r="N9" s="49"/>
    </row>
    <row r="10" spans="1:14" s="2" customFormat="1" x14ac:dyDescent="0.25">
      <c r="A10" s="324"/>
      <c r="B10" s="26" t="s">
        <v>430</v>
      </c>
      <c r="C10" s="105" t="s">
        <v>11</v>
      </c>
      <c r="D10" s="170">
        <v>2.2001650000000001</v>
      </c>
      <c r="E10" s="165">
        <v>3.2665099999999998</v>
      </c>
      <c r="F10" s="165">
        <v>2.5815579999999998</v>
      </c>
      <c r="G10" s="165">
        <v>2.0191620000000001</v>
      </c>
      <c r="H10" s="165">
        <v>2.2633619999999999</v>
      </c>
      <c r="I10" s="87">
        <f t="shared" si="1"/>
        <v>0.1209412617709722</v>
      </c>
      <c r="J10" s="156">
        <f t="shared" si="3"/>
        <v>2.4661513999999998</v>
      </c>
      <c r="K10" s="87">
        <f t="shared" si="2"/>
        <v>-8.2229095910332117E-2</v>
      </c>
      <c r="L10" s="14" t="s">
        <v>469</v>
      </c>
      <c r="M10" s="16" t="s">
        <v>470</v>
      </c>
      <c r="N10" s="49"/>
    </row>
    <row r="11" spans="1:14" s="2" customFormat="1" x14ac:dyDescent="0.25">
      <c r="A11" s="324"/>
      <c r="B11" s="26" t="s">
        <v>435</v>
      </c>
      <c r="C11" s="105" t="s">
        <v>11</v>
      </c>
      <c r="D11" s="170">
        <v>0.32688099999999998</v>
      </c>
      <c r="E11" s="165">
        <v>1.0248900000000001</v>
      </c>
      <c r="F11" s="165">
        <v>0.157585</v>
      </c>
      <c r="G11" s="165">
        <v>1.1587780000000001</v>
      </c>
      <c r="H11" s="165">
        <v>2.422479</v>
      </c>
      <c r="I11" s="87">
        <f t="shared" si="1"/>
        <v>1.0905462478576569</v>
      </c>
      <c r="J11" s="156">
        <f t="shared" si="3"/>
        <v>1.0181226000000001</v>
      </c>
      <c r="K11" s="87">
        <f t="shared" si="2"/>
        <v>1.3793588316377612</v>
      </c>
      <c r="L11" s="14" t="s">
        <v>469</v>
      </c>
      <c r="M11" s="16" t="s">
        <v>470</v>
      </c>
      <c r="N11" s="49"/>
    </row>
    <row r="12" spans="1:14" s="2" customFormat="1" x14ac:dyDescent="0.25">
      <c r="A12" s="36" t="s">
        <v>10</v>
      </c>
      <c r="B12" s="24" t="s">
        <v>8</v>
      </c>
      <c r="C12" s="105" t="s">
        <v>11</v>
      </c>
      <c r="D12" s="165">
        <v>540.16504599999996</v>
      </c>
      <c r="E12" s="165">
        <v>578.974289</v>
      </c>
      <c r="F12" s="165">
        <v>572.11496999999997</v>
      </c>
      <c r="G12" s="165">
        <v>593.85164499999996</v>
      </c>
      <c r="H12" s="165">
        <v>647.96808699999997</v>
      </c>
      <c r="I12" s="87">
        <f t="shared" si="1"/>
        <v>9.1127880937334149E-2</v>
      </c>
      <c r="J12" s="156">
        <f t="shared" si="3"/>
        <v>586.61480740000002</v>
      </c>
      <c r="K12" s="87">
        <f t="shared" si="2"/>
        <v>0.10458869913620239</v>
      </c>
      <c r="L12" s="14" t="s">
        <v>469</v>
      </c>
      <c r="M12" s="16" t="s">
        <v>470</v>
      </c>
      <c r="N12" s="49"/>
    </row>
    <row r="13" spans="1:14" s="2" customFormat="1" ht="15.75" x14ac:dyDescent="0.25">
      <c r="A13" s="226" t="s">
        <v>533</v>
      </c>
      <c r="B13" s="122" t="s">
        <v>8</v>
      </c>
      <c r="C13" s="233" t="s">
        <v>11</v>
      </c>
      <c r="D13" s="242">
        <v>-527.71485299999995</v>
      </c>
      <c r="E13" s="243">
        <v>-566.70726200000001</v>
      </c>
      <c r="F13" s="243">
        <v>-561.24896799999999</v>
      </c>
      <c r="G13" s="243">
        <v>-584.62181999999996</v>
      </c>
      <c r="H13" s="243">
        <v>-638.61022500000001</v>
      </c>
      <c r="I13" s="90">
        <f t="shared" si="1"/>
        <v>9.2347570947659996E-2</v>
      </c>
      <c r="J13" s="302">
        <f t="shared" si="3"/>
        <v>-575.78062559999989</v>
      </c>
      <c r="K13" s="89">
        <f t="shared" si="2"/>
        <v>0.1091207251625177</v>
      </c>
      <c r="L13" s="61" t="s">
        <v>469</v>
      </c>
      <c r="M13" s="62" t="s">
        <v>470</v>
      </c>
      <c r="N13" s="49"/>
    </row>
    <row r="14" spans="1:14" x14ac:dyDescent="0.25">
      <c r="A14" s="53" t="s">
        <v>80</v>
      </c>
      <c r="F14" s="12"/>
      <c r="G14" s="12"/>
      <c r="H14" s="12"/>
      <c r="I14" s="12"/>
      <c r="J14" s="12"/>
      <c r="K14" s="12"/>
    </row>
    <row r="15" spans="1:14" ht="17.25" x14ac:dyDescent="0.25">
      <c r="A15" s="81" t="s">
        <v>519</v>
      </c>
      <c r="F15" s="12"/>
      <c r="G15" s="12"/>
      <c r="H15" s="12"/>
      <c r="I15" s="12"/>
      <c r="J15" s="12"/>
      <c r="K15" s="12"/>
    </row>
    <row r="16" spans="1:14" ht="17.25" x14ac:dyDescent="0.25">
      <c r="A16" s="49" t="s">
        <v>521</v>
      </c>
    </row>
    <row r="17" spans="1:1" ht="17.25" x14ac:dyDescent="0.25">
      <c r="A17" s="81" t="s">
        <v>269</v>
      </c>
    </row>
    <row r="18" spans="1:1" ht="17.25" x14ac:dyDescent="0.25">
      <c r="A18" s="81" t="s">
        <v>360</v>
      </c>
    </row>
  </sheetData>
  <mergeCells count="1">
    <mergeCell ref="A8:A1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sheetPr>
  <dimension ref="A1:Z15"/>
  <sheetViews>
    <sheetView workbookViewId="0"/>
  </sheetViews>
  <sheetFormatPr defaultColWidth="9.140625" defaultRowHeight="15" x14ac:dyDescent="0.25"/>
  <cols>
    <col min="1" max="1" width="33.85546875" style="49" bestFit="1" customWidth="1"/>
    <col min="2" max="2" width="11.28515625" style="49" bestFit="1" customWidth="1"/>
    <col min="3" max="3" width="11.42578125" style="49" customWidth="1"/>
    <col min="4" max="6" width="10.5703125" style="49" bestFit="1" customWidth="1"/>
    <col min="7" max="7" width="10.7109375" style="49" bestFit="1" customWidth="1"/>
    <col min="8" max="8" width="10.7109375" style="49" customWidth="1"/>
    <col min="9" max="10" width="15.140625" style="49" customWidth="1"/>
    <col min="11" max="11" width="15.140625" style="9" customWidth="1"/>
    <col min="12" max="12" width="25.5703125" style="49" bestFit="1" customWidth="1"/>
    <col min="13" max="13" width="255.7109375" style="49" bestFit="1" customWidth="1"/>
    <col min="14" max="14" width="34.7109375" style="49" customWidth="1"/>
    <col min="15" max="26" width="9.140625" style="49"/>
    <col min="27" max="16384" width="9.140625" style="2"/>
  </cols>
  <sheetData>
    <row r="1" spans="1:26" s="1" customFormat="1" ht="30" x14ac:dyDescent="0.25">
      <c r="A1" s="33" t="s">
        <v>0</v>
      </c>
      <c r="B1" s="34" t="s">
        <v>9</v>
      </c>
      <c r="C1" s="35" t="s">
        <v>1</v>
      </c>
      <c r="D1" s="33" t="str">
        <f>+'Output Table'!C1</f>
        <v>2014-15</v>
      </c>
      <c r="E1" s="33" t="str">
        <f>+'Output Table'!D1</f>
        <v>2015-16</v>
      </c>
      <c r="F1" s="33" t="str">
        <f>+'Output Table'!E1</f>
        <v>2016-17</v>
      </c>
      <c r="G1" s="33" t="str">
        <f>+'Output Table'!F1</f>
        <v>2017-18</v>
      </c>
      <c r="H1" s="33" t="str">
        <f>+'Output Table'!G1</f>
        <v>2018-19e</v>
      </c>
      <c r="I1" s="41" t="s">
        <v>136</v>
      </c>
      <c r="J1" s="41" t="s">
        <v>428</v>
      </c>
      <c r="K1" s="41" t="s">
        <v>422</v>
      </c>
      <c r="L1" s="34" t="s">
        <v>15</v>
      </c>
      <c r="M1" s="35" t="s">
        <v>16</v>
      </c>
      <c r="N1" s="10" t="s">
        <v>17</v>
      </c>
      <c r="O1" s="11"/>
      <c r="P1" s="11"/>
      <c r="Q1" s="11"/>
      <c r="R1" s="11"/>
      <c r="S1" s="11"/>
      <c r="T1" s="11"/>
      <c r="U1" s="11"/>
      <c r="V1" s="11"/>
      <c r="W1" s="11"/>
      <c r="X1" s="11"/>
      <c r="Y1" s="11"/>
      <c r="Z1" s="11"/>
    </row>
    <row r="2" spans="1:26" ht="18.75" customHeight="1" x14ac:dyDescent="0.25">
      <c r="A2" s="36" t="s">
        <v>568</v>
      </c>
      <c r="B2" s="14"/>
      <c r="C2" s="16" t="s">
        <v>11</v>
      </c>
      <c r="D2" s="29">
        <v>486.16943170000008</v>
      </c>
      <c r="E2" s="60">
        <v>518.3866205700001</v>
      </c>
      <c r="F2" s="60">
        <v>545.9999006700001</v>
      </c>
      <c r="G2" s="60">
        <v>327.85201991000002</v>
      </c>
      <c r="H2" s="60">
        <v>380.7834993452098</v>
      </c>
      <c r="I2" s="22">
        <f t="shared" ref="I2:I8" si="0">IF(ISBLANK(H2),"N/A",IF(ISNA(H2/G2-1),"N/A",IF(ISERROR(H2/G2-1),"N/A",H2/G2-1)))</f>
        <v>0.16144930096737009</v>
      </c>
      <c r="J2" s="141">
        <f>IF(ISBLANK(H2),"",IF(ISNA(AVERAGE(D2:H2)),"N/A",IF(ISERROR(AVERAGE(D2:H2)),"N/A",AVERAGE(D2:H2))))</f>
        <v>451.83829443904204</v>
      </c>
      <c r="K2" s="22">
        <f t="shared" ref="K2:K8" si="1">IF(ISBLANK(H2),"",IF(ISNA(H2/AVERAGE(D2:H2)-1),"N/A",IF(ISERROR(H2/AVERAGE(D2:H2)-1),"N/A",H2/AVERAGE(D2:H2)-1)))</f>
        <v>-0.15725713373198458</v>
      </c>
      <c r="L2" s="14" t="s">
        <v>485</v>
      </c>
      <c r="M2" s="169" t="s">
        <v>484</v>
      </c>
      <c r="N2" s="49" t="s">
        <v>511</v>
      </c>
    </row>
    <row r="3" spans="1:26" ht="17.25" x14ac:dyDescent="0.25">
      <c r="A3" s="36" t="s">
        <v>191</v>
      </c>
      <c r="B3" s="24"/>
      <c r="C3" s="15" t="s">
        <v>22</v>
      </c>
      <c r="D3" s="20">
        <v>414.97300000000001</v>
      </c>
      <c r="E3" s="20">
        <v>319.892</v>
      </c>
      <c r="F3" s="20">
        <v>377.45100000000002</v>
      </c>
      <c r="G3" s="20">
        <v>408.97500000000002</v>
      </c>
      <c r="H3" s="20">
        <v>243</v>
      </c>
      <c r="I3" s="18">
        <f t="shared" si="0"/>
        <v>-0.40583165230148543</v>
      </c>
      <c r="J3" s="152">
        <f t="shared" ref="J3:J8" si="2">IF(ISBLANK(H3),"",IF(ISNA(AVERAGE(D3:H3)),"N/A",IF(ISERROR(AVERAGE(D3:H3)),"N/A",AVERAGE(D3:H3))))</f>
        <v>352.85820000000001</v>
      </c>
      <c r="K3" s="18">
        <f t="shared" si="1"/>
        <v>-0.31133809558627235</v>
      </c>
      <c r="L3" s="14" t="s">
        <v>471</v>
      </c>
      <c r="M3" s="37" t="s">
        <v>472</v>
      </c>
      <c r="N3" s="23"/>
    </row>
    <row r="4" spans="1:26" ht="17.25" x14ac:dyDescent="0.25">
      <c r="A4" s="36" t="s">
        <v>570</v>
      </c>
      <c r="B4" s="24"/>
      <c r="C4" s="16" t="s">
        <v>23</v>
      </c>
      <c r="D4" s="47">
        <f t="shared" ref="D4:H4" si="3">D5/D3</f>
        <v>1.5982485607497354</v>
      </c>
      <c r="E4" s="46">
        <f>E5/E3</f>
        <v>1.9141866629987623</v>
      </c>
      <c r="F4" s="97">
        <f t="shared" si="3"/>
        <v>2.0689996847272889</v>
      </c>
      <c r="G4" s="97">
        <f t="shared" si="3"/>
        <v>1.1449819671129042</v>
      </c>
      <c r="H4" s="97">
        <f t="shared" si="3"/>
        <v>1.3991769547325104</v>
      </c>
      <c r="I4" s="18">
        <f t="shared" si="0"/>
        <v>0.22200785245602073</v>
      </c>
      <c r="J4" s="152">
        <f t="shared" si="2"/>
        <v>1.6251187660642401</v>
      </c>
      <c r="K4" s="18">
        <f t="shared" si="1"/>
        <v>-0.13903095333698112</v>
      </c>
      <c r="L4" s="14" t="s">
        <v>471</v>
      </c>
      <c r="M4" s="37" t="s">
        <v>472</v>
      </c>
      <c r="N4" s="23"/>
    </row>
    <row r="5" spans="1:26" ht="17.25" x14ac:dyDescent="0.25">
      <c r="A5" s="36" t="s">
        <v>192</v>
      </c>
      <c r="B5" s="14"/>
      <c r="C5" s="15" t="s">
        <v>12</v>
      </c>
      <c r="D5" s="50">
        <v>663.23</v>
      </c>
      <c r="E5" s="20">
        <v>612.33300000000008</v>
      </c>
      <c r="F5" s="20">
        <v>780.94599999999991</v>
      </c>
      <c r="G5" s="20">
        <v>468.26900000000001</v>
      </c>
      <c r="H5" s="20">
        <v>340</v>
      </c>
      <c r="I5" s="18">
        <f t="shared" si="0"/>
        <v>-0.27392161343159593</v>
      </c>
      <c r="J5" s="152">
        <f t="shared" si="2"/>
        <v>572.9556</v>
      </c>
      <c r="K5" s="18">
        <f t="shared" si="1"/>
        <v>-0.40658578081792029</v>
      </c>
      <c r="L5" s="14" t="s">
        <v>471</v>
      </c>
      <c r="M5" s="37" t="s">
        <v>472</v>
      </c>
      <c r="N5" s="23"/>
    </row>
    <row r="6" spans="1:26" ht="17.25" x14ac:dyDescent="0.25">
      <c r="A6" s="100" t="s">
        <v>537</v>
      </c>
      <c r="B6" s="24" t="s">
        <v>8</v>
      </c>
      <c r="C6" s="16" t="s">
        <v>11</v>
      </c>
      <c r="D6" s="170">
        <f>+'Exports Table'!C87-SUM('Exports Table'!C2,'Exports Table'!C35,'Exports Table'!C44,'Exports Table'!C77)</f>
        <v>546.03420500000084</v>
      </c>
      <c r="E6" s="165">
        <f>+'Exports Table'!D87-SUM('Exports Table'!D2,'Exports Table'!D35,'Exports Table'!D44,'Exports Table'!D77)</f>
        <v>533.05049899999995</v>
      </c>
      <c r="F6" s="165">
        <f>+'Exports Table'!E87-SUM('Exports Table'!E2,'Exports Table'!E35,'Exports Table'!E44,'Exports Table'!E77)</f>
        <v>490.39673199999834</v>
      </c>
      <c r="G6" s="165">
        <f>+'Exports Table'!F87-SUM('Exports Table'!F2,'Exports Table'!F35,'Exports Table'!F44,'Exports Table'!F77)</f>
        <v>542.993649</v>
      </c>
      <c r="H6" s="165">
        <f>+'Exports Table'!G87-SUM('Exports Table'!G2,'Exports Table'!G35,'Exports Table'!G44,'Exports Table'!G77)</f>
        <v>563.4437539999999</v>
      </c>
      <c r="I6" s="18">
        <f t="shared" si="0"/>
        <v>3.7661775672075848E-2</v>
      </c>
      <c r="J6" s="234">
        <f t="shared" si="2"/>
        <v>535.18376779999983</v>
      </c>
      <c r="K6" s="18">
        <f t="shared" si="1"/>
        <v>5.28042663105599E-2</v>
      </c>
      <c r="L6" s="14" t="s">
        <v>469</v>
      </c>
      <c r="M6" s="16" t="s">
        <v>470</v>
      </c>
    </row>
    <row r="7" spans="1:26" ht="17.25" x14ac:dyDescent="0.25">
      <c r="A7" s="36" t="s">
        <v>536</v>
      </c>
      <c r="B7" s="24" t="s">
        <v>8</v>
      </c>
      <c r="C7" s="16" t="s">
        <v>11</v>
      </c>
      <c r="D7" s="170">
        <f>'Imports Trade Bal. Tables'!C26-SUM('Imports Trade Bal. Tables'!C2,'Imports Trade Bal. Tables'!C11,'Imports Trade Bal. Tables'!C14,'Imports Trade Bal. Tables'!C22)</f>
        <v>161.75140999999985</v>
      </c>
      <c r="E7" s="165">
        <f>'Imports Trade Bal. Tables'!D26-SUM('Imports Trade Bal. Tables'!D2,'Imports Trade Bal. Tables'!D11,'Imports Trade Bal. Tables'!D14,'Imports Trade Bal. Tables'!D22)</f>
        <v>176.92171599999983</v>
      </c>
      <c r="F7" s="165">
        <f>'Imports Trade Bal. Tables'!E26-SUM('Imports Trade Bal. Tables'!E2,'Imports Trade Bal. Tables'!E11,'Imports Trade Bal. Tables'!E14,'Imports Trade Bal. Tables'!E22)</f>
        <v>167.23360999999977</v>
      </c>
      <c r="G7" s="165">
        <f>'Imports Trade Bal. Tables'!F26-SUM('Imports Trade Bal. Tables'!F2,'Imports Trade Bal. Tables'!F11,'Imports Trade Bal. Tables'!F14,'Imports Trade Bal. Tables'!F22)</f>
        <v>164.22404899999992</v>
      </c>
      <c r="H7" s="165">
        <f>'Imports Trade Bal. Tables'!G26-SUM('Imports Trade Bal. Tables'!G2,'Imports Trade Bal. Tables'!G11,'Imports Trade Bal. Tables'!G14,'Imports Trade Bal. Tables'!G22)</f>
        <v>181.91978600000039</v>
      </c>
      <c r="I7" s="18">
        <f t="shared" si="0"/>
        <v>0.10775362748485429</v>
      </c>
      <c r="J7" s="234">
        <f t="shared" si="2"/>
        <v>170.41011419999995</v>
      </c>
      <c r="K7" s="18">
        <f t="shared" si="1"/>
        <v>6.7541013360816304E-2</v>
      </c>
      <c r="L7" s="14" t="s">
        <v>469</v>
      </c>
      <c r="M7" s="16" t="s">
        <v>470</v>
      </c>
    </row>
    <row r="8" spans="1:26" ht="17.25" x14ac:dyDescent="0.25">
      <c r="A8" s="121" t="s">
        <v>535</v>
      </c>
      <c r="B8" s="122" t="s">
        <v>8</v>
      </c>
      <c r="C8" s="55" t="s">
        <v>11</v>
      </c>
      <c r="D8" s="221">
        <f t="shared" ref="D8:H8" si="4">D6-D7</f>
        <v>384.28279500000099</v>
      </c>
      <c r="E8" s="222">
        <f t="shared" si="4"/>
        <v>356.12878300000011</v>
      </c>
      <c r="F8" s="222">
        <f t="shared" si="4"/>
        <v>323.16312199999857</v>
      </c>
      <c r="G8" s="222">
        <f t="shared" si="4"/>
        <v>378.76960000000008</v>
      </c>
      <c r="H8" s="222">
        <f t="shared" si="4"/>
        <v>381.52396799999951</v>
      </c>
      <c r="I8" s="57">
        <f t="shared" si="0"/>
        <v>7.2718824319570885E-3</v>
      </c>
      <c r="J8" s="235">
        <f t="shared" si="2"/>
        <v>364.77365359999988</v>
      </c>
      <c r="K8" s="57">
        <f t="shared" si="1"/>
        <v>4.5919748410249817E-2</v>
      </c>
      <c r="L8" s="58" t="s">
        <v>469</v>
      </c>
      <c r="M8" s="55" t="s">
        <v>470</v>
      </c>
    </row>
    <row r="9" spans="1:26" x14ac:dyDescent="0.25">
      <c r="A9" s="28" t="s">
        <v>80</v>
      </c>
      <c r="G9" s="9"/>
      <c r="H9" s="9"/>
      <c r="I9" s="9"/>
      <c r="J9" s="9"/>
      <c r="K9" s="49"/>
    </row>
    <row r="10" spans="1:26" ht="17.25" x14ac:dyDescent="0.25">
      <c r="A10" s="81" t="s">
        <v>519</v>
      </c>
      <c r="K10" s="49"/>
    </row>
    <row r="11" spans="1:26" ht="17.25" x14ac:dyDescent="0.25">
      <c r="A11" s="81" t="s">
        <v>532</v>
      </c>
    </row>
    <row r="12" spans="1:26" ht="17.25" x14ac:dyDescent="0.25">
      <c r="A12" s="49" t="s">
        <v>521</v>
      </c>
    </row>
    <row r="13" spans="1:26" ht="17.25" x14ac:dyDescent="0.25">
      <c r="A13" s="2" t="s">
        <v>569</v>
      </c>
    </row>
    <row r="14" spans="1:26" ht="17.25" x14ac:dyDescent="0.25">
      <c r="A14" s="2" t="s">
        <v>420</v>
      </c>
    </row>
    <row r="15" spans="1:26" ht="17.25" x14ac:dyDescent="0.25">
      <c r="A15" s="2" t="s">
        <v>193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92D050"/>
    <pageSetUpPr fitToPage="1"/>
  </sheetPr>
  <dimension ref="A1:L44"/>
  <sheetViews>
    <sheetView workbookViewId="0"/>
  </sheetViews>
  <sheetFormatPr defaultRowHeight="15" x14ac:dyDescent="0.25"/>
  <cols>
    <col min="1" max="1" width="46.42578125" style="8" customWidth="1"/>
    <col min="2" max="2" width="9.140625" style="8"/>
    <col min="3" max="6" width="9.5703125" style="8" bestFit="1" customWidth="1"/>
    <col min="7" max="7" width="9.5703125" style="8" customWidth="1"/>
    <col min="8" max="10" width="14.5703125" style="8" customWidth="1"/>
    <col min="11" max="11" width="36.5703125" bestFit="1" customWidth="1"/>
    <col min="12" max="12" width="187.7109375" bestFit="1" customWidth="1"/>
  </cols>
  <sheetData>
    <row r="1" spans="1:12" ht="30" x14ac:dyDescent="0.25">
      <c r="A1" s="244" t="s">
        <v>560</v>
      </c>
      <c r="B1" s="245" t="s">
        <v>1</v>
      </c>
      <c r="C1" s="245" t="s">
        <v>3</v>
      </c>
      <c r="D1" s="245" t="s">
        <v>4</v>
      </c>
      <c r="E1" s="245" t="s">
        <v>419</v>
      </c>
      <c r="F1" s="245" t="s">
        <v>465</v>
      </c>
      <c r="G1" s="245" t="s">
        <v>464</v>
      </c>
      <c r="H1" s="246" t="s">
        <v>136</v>
      </c>
      <c r="I1" s="247" t="s">
        <v>428</v>
      </c>
      <c r="J1" s="246" t="s">
        <v>422</v>
      </c>
      <c r="K1" s="248" t="s">
        <v>15</v>
      </c>
      <c r="L1" s="249" t="s">
        <v>16</v>
      </c>
    </row>
    <row r="2" spans="1:12" x14ac:dyDescent="0.25">
      <c r="A2" s="250" t="s">
        <v>133</v>
      </c>
      <c r="B2" s="72" t="s">
        <v>11</v>
      </c>
      <c r="C2" s="73">
        <f>SUM(C3:C11)</f>
        <v>4719.5289249699999</v>
      </c>
      <c r="D2" s="73">
        <f t="shared" ref="D2:F2" si="0">SUM(D3:D11)</f>
        <v>5351.3058917300004</v>
      </c>
      <c r="E2" s="73">
        <f t="shared" si="0"/>
        <v>6444.1504631500011</v>
      </c>
      <c r="F2" s="114">
        <f t="shared" si="0"/>
        <v>4827.9212199000003</v>
      </c>
      <c r="G2" s="114">
        <f>SUM(G3:G11)</f>
        <v>2497.4615438926749</v>
      </c>
      <c r="H2" s="115">
        <f t="shared" ref="H2:H35" si="1">IF(ISBLANK(G2),"N/A",IF(ISNA(G2/F2-1),"N/A",IF(ISERROR(G2/F2-1),"N/A",G2/F2-1)))</f>
        <v>-0.48270457819433843</v>
      </c>
      <c r="I2" s="150">
        <f>IF(ISBLANK(G2),"",IF(ISNA(AVERAGE(C2:G2)),"N/A",IF(ISERROR(AVERAGE(C2:G2)),"N/A",AVERAGE(C2:G2))))</f>
        <v>4768.073608728535</v>
      </c>
      <c r="J2" s="115">
        <f>IF(ISBLANK(G2),"",IF(ISNA(G2/AVERAGE(C2:G2)-1),"N/A",IF(ISERROR(G2/AVERAGE(C2:G2)-1),"N/A",G2/AVERAGE(C2:G2)-1)))</f>
        <v>-0.47621162154024432</v>
      </c>
      <c r="K2" s="76"/>
      <c r="L2" s="251"/>
    </row>
    <row r="3" spans="1:12" x14ac:dyDescent="0.25">
      <c r="A3" s="252" t="s">
        <v>65</v>
      </c>
      <c r="B3" s="77" t="s">
        <v>11</v>
      </c>
      <c r="C3" s="78">
        <f>Wheat!D2</f>
        <v>1932.70074563</v>
      </c>
      <c r="D3" s="78">
        <f>Wheat!E2</f>
        <v>1863.5829750999999</v>
      </c>
      <c r="E3" s="78">
        <f>Wheat!F2</f>
        <v>2259.7349690000001</v>
      </c>
      <c r="F3" s="116">
        <f>Wheat!G2</f>
        <v>1368.8539899</v>
      </c>
      <c r="G3" s="116">
        <f>Wheat!H2</f>
        <v>734.99778228312516</v>
      </c>
      <c r="H3" s="117">
        <f t="shared" si="1"/>
        <v>-0.46305611284603143</v>
      </c>
      <c r="I3" s="144">
        <f t="shared" ref="I3:I30" si="2">IF(ISBLANK(G3),"",IF(ISNA(AVERAGE(C3:G3)),"N/A",IF(ISERROR(AVERAGE(C3:G3)),"N/A",AVERAGE(C3:G3))))</f>
        <v>1631.974092382625</v>
      </c>
      <c r="J3" s="117">
        <f t="shared" ref="J3:J35" si="3">IF(ISBLANK(G3),"",IF(ISNA(G3/AVERAGE(C3:G3)-1),"N/A",IF(ISERROR(G3/AVERAGE(C3:G3)-1),"N/A",G3/AVERAGE(C3:G3)-1)))</f>
        <v>-0.54962656226358708</v>
      </c>
      <c r="K3" s="79" t="str">
        <f>Wheat!L2</f>
        <v>ABS (2019b) + DPI (2019r)</v>
      </c>
      <c r="L3" s="253" t="str">
        <f>Wheat!M2</f>
        <v>Australian Bureau of Statistics (2019). 7503.0 Value of Agricultural Commodities Produced, Australia 2017-18. Last accessed September 2019. 
&lt;http://www.abs.gov.au/ausstats/abs@.nsf/mf/7503.0&gt;</v>
      </c>
    </row>
    <row r="4" spans="1:12" x14ac:dyDescent="0.25">
      <c r="A4" s="252" t="s">
        <v>66</v>
      </c>
      <c r="B4" s="77" t="s">
        <v>11</v>
      </c>
      <c r="C4" s="78">
        <f>Barley!D2</f>
        <v>550.65843391999999</v>
      </c>
      <c r="D4" s="78">
        <f>Barley!E2</f>
        <v>690.17319586999997</v>
      </c>
      <c r="E4" s="78">
        <f>Barley!F2</f>
        <v>600.77303170000005</v>
      </c>
      <c r="F4" s="116">
        <f>Barley!G2</f>
        <v>340.18225279000001</v>
      </c>
      <c r="G4" s="116">
        <f>Barley!H2</f>
        <v>246.23065416536153</v>
      </c>
      <c r="H4" s="117">
        <f t="shared" si="1"/>
        <v>-0.27618018827877044</v>
      </c>
      <c r="I4" s="144">
        <f t="shared" si="2"/>
        <v>485.60351368907232</v>
      </c>
      <c r="J4" s="117">
        <f t="shared" si="3"/>
        <v>-0.49293889516001144</v>
      </c>
      <c r="K4" s="79" t="str">
        <f>Barley!L2</f>
        <v>ABS (2019b) + DPI (2019r)</v>
      </c>
      <c r="L4" s="253" t="str">
        <f>Barley!M2</f>
        <v>Australian Bureau of Statistics (2019). 7503.0 Value of Agricultural Commodities Produced, Australia 2017-18. Last accessed September 2019. 
&lt;http://www.abs.gov.au/ausstats/abs@.nsf/mf/7503.0&gt;</v>
      </c>
    </row>
    <row r="5" spans="1:12" x14ac:dyDescent="0.25">
      <c r="A5" s="252" t="s">
        <v>67</v>
      </c>
      <c r="B5" s="77" t="s">
        <v>11</v>
      </c>
      <c r="C5" s="78">
        <f>Rice!D2</f>
        <v>259.19083547000002</v>
      </c>
      <c r="D5" s="78">
        <f>Rice!E2</f>
        <v>109.90495236</v>
      </c>
      <c r="E5" s="78">
        <f>Rice!F2</f>
        <v>252.15352869999998</v>
      </c>
      <c r="F5" s="116">
        <f>Rice!G2</f>
        <v>243.04427555000001</v>
      </c>
      <c r="G5" s="116">
        <f>Rice!H2</f>
        <v>24.426629999999996</v>
      </c>
      <c r="H5" s="117">
        <f t="shared" si="1"/>
        <v>-0.89949720089179863</v>
      </c>
      <c r="I5" s="144">
        <f t="shared" si="2"/>
        <v>177.74404441600001</v>
      </c>
      <c r="J5" s="117">
        <f t="shared" si="3"/>
        <v>-0.86257412966911662</v>
      </c>
      <c r="K5" s="79" t="str">
        <f>Rice!L2</f>
        <v>ABS (2019b) + DPI (2019r)</v>
      </c>
      <c r="L5" s="253" t="str">
        <f>Rice!M2</f>
        <v>Australian Bureau of Statistics (2019). 7503.0 Value of Agricultural Commodities Produced, Australia 2017-18. Last accessed September 2019. 
&lt;http://www.abs.gov.au/ausstats/abs@.nsf/mf/7503.0&gt;</v>
      </c>
    </row>
    <row r="6" spans="1:12" x14ac:dyDescent="0.25">
      <c r="A6" s="252" t="s">
        <v>68</v>
      </c>
      <c r="B6" s="77" t="s">
        <v>11</v>
      </c>
      <c r="C6" s="78">
        <f>Sorghum!D2</f>
        <v>172.01185952</v>
      </c>
      <c r="D6" s="78">
        <f>Sorghum!E2</f>
        <v>177.29157953000001</v>
      </c>
      <c r="E6" s="78">
        <f>Sorghum!F2</f>
        <v>96.625019930000008</v>
      </c>
      <c r="F6" s="116">
        <f>Sorghum!G2</f>
        <v>87.717516099999997</v>
      </c>
      <c r="G6" s="116">
        <f>Sorghum!H2</f>
        <v>98.125341383680038</v>
      </c>
      <c r="H6" s="117">
        <f t="shared" si="1"/>
        <v>0.11865161881482011</v>
      </c>
      <c r="I6" s="144">
        <f t="shared" si="2"/>
        <v>126.35426329273601</v>
      </c>
      <c r="J6" s="117">
        <f t="shared" si="3"/>
        <v>-0.22341091763287435</v>
      </c>
      <c r="K6" s="79" t="str">
        <f>Sorghum!L2</f>
        <v>ABS (2019b) + DPI (2019r)</v>
      </c>
      <c r="L6" s="253" t="str">
        <f>Sorghum!M2</f>
        <v>Australian Bureau of Statistics (2019). 7503.0 Value of Agricultural Commodities Produced, Australia 2017-18. Last accessed September 2019. 
&lt;http://www.abs.gov.au/ausstats/abs@.nsf/mf/7503.0&gt;</v>
      </c>
    </row>
    <row r="7" spans="1:12" x14ac:dyDescent="0.25">
      <c r="A7" s="252" t="s">
        <v>70</v>
      </c>
      <c r="B7" s="77" t="s">
        <v>11</v>
      </c>
      <c r="C7" s="78">
        <f>Pulses!D2</f>
        <v>177.64806615999998</v>
      </c>
      <c r="D7" s="78">
        <f>Pulses!E2</f>
        <v>531.87517412</v>
      </c>
      <c r="E7" s="78">
        <f>Pulses!F2</f>
        <v>817.70248604000005</v>
      </c>
      <c r="F7" s="116">
        <f>Pulses!G2</f>
        <v>258.43276026000001</v>
      </c>
      <c r="G7" s="116">
        <f>Pulses!H2</f>
        <v>75.249877173979598</v>
      </c>
      <c r="H7" s="117">
        <f t="shared" si="1"/>
        <v>-0.70882222092015978</v>
      </c>
      <c r="I7" s="144">
        <f t="shared" si="2"/>
        <v>372.18167275079594</v>
      </c>
      <c r="J7" s="117">
        <f t="shared" si="3"/>
        <v>-0.79781412497341009</v>
      </c>
      <c r="K7" s="79" t="str">
        <f>Pulses!L2</f>
        <v>ABS (2019b) + DPI (2019r)</v>
      </c>
      <c r="L7" s="253" t="str">
        <f>Pulses!M2</f>
        <v>Australian Bureau of Statistics (2019). 7503.0 Value of Agricultural Commodities Produced, Australia 2017-18. Last accessed September 2019. 
&lt;http://www.abs.gov.au/ausstats/abs@.nsf/mf/7503.0&gt;</v>
      </c>
    </row>
    <row r="8" spans="1:12" x14ac:dyDescent="0.25">
      <c r="A8" s="252" t="s">
        <v>69</v>
      </c>
      <c r="B8" s="77" t="s">
        <v>11</v>
      </c>
      <c r="C8" s="78">
        <f>Oilseeds!D2</f>
        <v>510.39223373999999</v>
      </c>
      <c r="D8" s="78">
        <f>Oilseeds!E2</f>
        <v>511.54168149999998</v>
      </c>
      <c r="E8" s="78">
        <f>Oilseeds!F2</f>
        <v>714.50016290999997</v>
      </c>
      <c r="F8" s="116">
        <f>Oilseeds!G2</f>
        <v>487.99958887999998</v>
      </c>
      <c r="G8" s="116">
        <f>Oilseeds!H2</f>
        <v>94.365978700576719</v>
      </c>
      <c r="H8" s="117">
        <f t="shared" si="1"/>
        <v>-0.80662692991780061</v>
      </c>
      <c r="I8" s="144">
        <f t="shared" si="2"/>
        <v>463.75992914611533</v>
      </c>
      <c r="J8" s="117">
        <f t="shared" si="3"/>
        <v>-0.79651976643535072</v>
      </c>
      <c r="K8" s="79" t="str">
        <f>Oilseeds!L2</f>
        <v>ABS (2019b) + DPI (2019r)</v>
      </c>
      <c r="L8" s="253" t="str">
        <f>Oilseeds!M2</f>
        <v>Australian Bureau of Statistics (2019). 7503.0 Value of Agricultural Commodities Produced, Australia 2017-18. Last accessed September 2019. 
&lt;http://www.abs.gov.au/ausstats/abs@.nsf/mf/7503.0&gt;</v>
      </c>
    </row>
    <row r="9" spans="1:12" x14ac:dyDescent="0.25">
      <c r="A9" s="252" t="s">
        <v>118</v>
      </c>
      <c r="B9" s="77" t="s">
        <v>11</v>
      </c>
      <c r="C9" s="78">
        <f>'Cotton Lint'!D2</f>
        <v>573.78310267999996</v>
      </c>
      <c r="D9" s="78">
        <f>'Cotton Lint'!E2</f>
        <v>874.13875369000004</v>
      </c>
      <c r="E9" s="78">
        <f>'Cotton Lint'!F2</f>
        <v>1059.4663880000001</v>
      </c>
      <c r="F9" s="116">
        <f>'Cotton Lint'!G2</f>
        <v>1628.7418164999999</v>
      </c>
      <c r="G9" s="116">
        <f>'Cotton Lint'!H2</f>
        <v>763.22763965441516</v>
      </c>
      <c r="H9" s="117">
        <f t="shared" si="1"/>
        <v>-0.53140047616968933</v>
      </c>
      <c r="I9" s="144">
        <f t="shared" si="2"/>
        <v>979.87154010488302</v>
      </c>
      <c r="J9" s="117">
        <f t="shared" si="3"/>
        <v>-0.22109418590448993</v>
      </c>
      <c r="K9" s="79" t="str">
        <f>'Cotton Lint'!L2</f>
        <v>ABS (2019b) + DPI (2019r)</v>
      </c>
      <c r="L9" s="253" t="str">
        <f>'Cotton Lint'!M2</f>
        <v>Australian Bureau of Statistics (2019). 7503.0 Value of Agricultural Commodities Produced, Australia 2017-18. Last accessed September 2019. 
&lt;http://www.abs.gov.au/ausstats/abs@.nsf/mf/7503.0&gt;</v>
      </c>
    </row>
    <row r="10" spans="1:12" x14ac:dyDescent="0.25">
      <c r="A10" s="252" t="s">
        <v>71</v>
      </c>
      <c r="B10" s="77" t="s">
        <v>11</v>
      </c>
      <c r="C10" s="78">
        <f>'Sugar Cane'!D2</f>
        <v>56.974216149999997</v>
      </c>
      <c r="D10" s="78">
        <f>'Sugar Cane'!E2</f>
        <v>74.410958989999997</v>
      </c>
      <c r="E10" s="78">
        <f>'Sugar Cane'!F2</f>
        <v>97.194976199999999</v>
      </c>
      <c r="F10" s="116">
        <f>'Sugar Cane'!G2</f>
        <v>85.097000010000002</v>
      </c>
      <c r="G10" s="116">
        <f>'Sugar Cane'!H2</f>
        <v>80.054141186326916</v>
      </c>
      <c r="H10" s="117">
        <f t="shared" si="1"/>
        <v>-5.9260124599932795E-2</v>
      </c>
      <c r="I10" s="144">
        <f t="shared" si="2"/>
        <v>78.746258507265381</v>
      </c>
      <c r="J10" s="117">
        <f t="shared" si="3"/>
        <v>1.6608823121937455E-2</v>
      </c>
      <c r="K10" s="79" t="str">
        <f>'Sugar Cane'!L2</f>
        <v>ABS (2019b) + DPI (2019r)</v>
      </c>
      <c r="L10" s="253" t="str">
        <f>'Sugar Cane'!M2</f>
        <v>Australian Bureau of Statistics (2019). 7503.0 Value of Agricultural Commodities Produced, Australia 2017-18. Last accessed September 2019. 
&lt;http://www.abs.gov.au/ausstats/abs@.nsf/mf/7503.0&gt;</v>
      </c>
    </row>
    <row r="11" spans="1:12" ht="17.25" x14ac:dyDescent="0.25">
      <c r="A11" s="252" t="s">
        <v>138</v>
      </c>
      <c r="B11" s="77" t="s">
        <v>11</v>
      </c>
      <c r="C11" s="78">
        <f>'Other Crops'!D2</f>
        <v>486.16943170000008</v>
      </c>
      <c r="D11" s="78">
        <f>'Other Crops'!E2</f>
        <v>518.3866205700001</v>
      </c>
      <c r="E11" s="78">
        <f>'Other Crops'!F2</f>
        <v>545.9999006700001</v>
      </c>
      <c r="F11" s="116">
        <f>'Other Crops'!G2</f>
        <v>327.85201991000002</v>
      </c>
      <c r="G11" s="116">
        <f>'Other Crops'!H2</f>
        <v>380.7834993452098</v>
      </c>
      <c r="H11" s="117">
        <f t="shared" si="1"/>
        <v>0.16144930096737009</v>
      </c>
      <c r="I11" s="144">
        <f t="shared" si="2"/>
        <v>451.83829443904204</v>
      </c>
      <c r="J11" s="117">
        <f t="shared" si="3"/>
        <v>-0.15725713373198458</v>
      </c>
      <c r="K11" s="79" t="s">
        <v>18</v>
      </c>
      <c r="L11" s="253" t="s">
        <v>64</v>
      </c>
    </row>
    <row r="12" spans="1:12" x14ac:dyDescent="0.25">
      <c r="A12" s="250" t="s">
        <v>132</v>
      </c>
      <c r="B12" s="72" t="s">
        <v>11</v>
      </c>
      <c r="C12" s="80">
        <f>SUM(C13:C16)</f>
        <v>1358.5454006100001</v>
      </c>
      <c r="D12" s="80">
        <f t="shared" ref="D12:F12" si="4">SUM(D13:D16)</f>
        <v>1545.9208316099998</v>
      </c>
      <c r="E12" s="80">
        <f t="shared" si="4"/>
        <v>1952.9266367799999</v>
      </c>
      <c r="F12" s="118">
        <f t="shared" si="4"/>
        <v>1934.0933443500001</v>
      </c>
      <c r="G12" s="118">
        <f>SUM(G13:G16)</f>
        <v>1963.6184807340758</v>
      </c>
      <c r="H12" s="115">
        <f t="shared" si="1"/>
        <v>1.5265621212299019E-2</v>
      </c>
      <c r="I12" s="150">
        <f t="shared" si="2"/>
        <v>1751.020938816815</v>
      </c>
      <c r="J12" s="115">
        <f t="shared" si="3"/>
        <v>0.12141347781992562</v>
      </c>
      <c r="K12" s="79"/>
      <c r="L12" s="253"/>
    </row>
    <row r="13" spans="1:12" x14ac:dyDescent="0.25">
      <c r="A13" s="252" t="s">
        <v>120</v>
      </c>
      <c r="B13" s="77" t="s">
        <v>11</v>
      </c>
      <c r="C13" s="78">
        <f>Horticulture!D3</f>
        <v>532.68769954000004</v>
      </c>
      <c r="D13" s="78">
        <f>Horticulture!E3</f>
        <v>678.40727508999998</v>
      </c>
      <c r="E13" s="78">
        <f>Horticulture!F3</f>
        <v>809.08487828</v>
      </c>
      <c r="F13" s="116">
        <f>Horticulture!G3</f>
        <v>737.71278081000003</v>
      </c>
      <c r="G13" s="116">
        <f>Horticulture!H3</f>
        <v>751.24194680793414</v>
      </c>
      <c r="H13" s="117">
        <f t="shared" si="1"/>
        <v>1.833934066192966E-2</v>
      </c>
      <c r="I13" s="144">
        <f t="shared" si="2"/>
        <v>701.82691610558686</v>
      </c>
      <c r="J13" s="117">
        <f t="shared" si="3"/>
        <v>7.040914158230005E-2</v>
      </c>
      <c r="K13" s="79" t="str">
        <f>Horticulture!L3</f>
        <v>ABS (2019b) + DPI (2019r)</v>
      </c>
      <c r="L13" s="253" t="str">
        <f>Horticulture!M3</f>
        <v>Australian Bureau of Statistics (2019). 7503.0 Value of Agricultural Commodities Produced, Australia 2017-18. Last accessed September 2019. 
&lt;http://www.abs.gov.au/ausstats/abs@.nsf/mf/7503.0&gt;</v>
      </c>
    </row>
    <row r="14" spans="1:12" x14ac:dyDescent="0.25">
      <c r="A14" s="252" t="s">
        <v>72</v>
      </c>
      <c r="B14" s="77" t="s">
        <v>11</v>
      </c>
      <c r="C14" s="78">
        <f>Horticulture!D4</f>
        <v>408.19657388000002</v>
      </c>
      <c r="D14" s="78">
        <f>Horticulture!E4</f>
        <v>419.91898237999999</v>
      </c>
      <c r="E14" s="78">
        <f>Horticulture!F4</f>
        <v>507.39925529999999</v>
      </c>
      <c r="F14" s="116">
        <f>Horticulture!G4</f>
        <v>497.59218783</v>
      </c>
      <c r="G14" s="116">
        <f>Horticulture!H4</f>
        <v>505.79572120482925</v>
      </c>
      <c r="H14" s="117">
        <f t="shared" si="1"/>
        <v>1.6486459344558613E-2</v>
      </c>
      <c r="I14" s="144">
        <f t="shared" si="2"/>
        <v>467.78054411896585</v>
      </c>
      <c r="J14" s="117">
        <f t="shared" si="3"/>
        <v>8.1267118874006394E-2</v>
      </c>
      <c r="K14" s="79" t="str">
        <f>Horticulture!L4</f>
        <v>ABS (2019b) + DPI (2019r)</v>
      </c>
      <c r="L14" s="253" t="str">
        <f>Horticulture!M4</f>
        <v>Australian Bureau of Statistics (2019). 7503.0 Value of Agricultural Commodities Produced, Australia 2017-18. Last accessed September 2019. 
&lt;http://www.abs.gov.au/ausstats/abs@.nsf/mf/7503.0&gt;</v>
      </c>
    </row>
    <row r="15" spans="1:12" x14ac:dyDescent="0.25">
      <c r="A15" s="252" t="s">
        <v>121</v>
      </c>
      <c r="B15" s="77" t="s">
        <v>11</v>
      </c>
      <c r="C15" s="78">
        <f>Horticulture!D5</f>
        <v>262.80253787999999</v>
      </c>
      <c r="D15" s="78">
        <f>Horticulture!E5</f>
        <v>300.05687018999998</v>
      </c>
      <c r="E15" s="78">
        <f>Horticulture!F5</f>
        <v>449.75668789999997</v>
      </c>
      <c r="F15" s="116">
        <f>Horticulture!G5</f>
        <v>471.67267089000001</v>
      </c>
      <c r="G15" s="116">
        <f>Horticulture!H5</f>
        <v>471.67267089000001</v>
      </c>
      <c r="H15" s="117">
        <f t="shared" si="1"/>
        <v>0</v>
      </c>
      <c r="I15" s="144">
        <f t="shared" si="2"/>
        <v>391.19228755</v>
      </c>
      <c r="J15" s="117">
        <f t="shared" si="3"/>
        <v>0.20573100723442428</v>
      </c>
      <c r="K15" s="79" t="str">
        <f>Horticulture!L5</f>
        <v>ABS (2019b) + DPI (2019r)</v>
      </c>
      <c r="L15" s="253" t="str">
        <f>Horticulture!M5</f>
        <v>Australian Bureau of Statistics (2019). 7503.0 Value of Agricultural Commodities Produced, Australia 2017-18. Last accessed September 2019. 
&lt;http://www.abs.gov.au/ausstats/abs@.nsf/mf/7503.0&gt;</v>
      </c>
    </row>
    <row r="16" spans="1:12" x14ac:dyDescent="0.25">
      <c r="A16" s="252" t="s">
        <v>73</v>
      </c>
      <c r="B16" s="77" t="s">
        <v>11</v>
      </c>
      <c r="C16" s="78">
        <f>Wine!D2</f>
        <v>154.85858931000001</v>
      </c>
      <c r="D16" s="78">
        <f>Wine!E2</f>
        <v>147.53770394999998</v>
      </c>
      <c r="E16" s="78">
        <f>Wine!F2</f>
        <v>186.6858153</v>
      </c>
      <c r="F16" s="116">
        <f>Wine!G2</f>
        <v>227.11570481999999</v>
      </c>
      <c r="G16" s="116">
        <f>Wine!H2</f>
        <v>234.90814183131243</v>
      </c>
      <c r="H16" s="117">
        <f t="shared" si="1"/>
        <v>3.4310427882952022E-2</v>
      </c>
      <c r="I16" s="144">
        <f t="shared" si="2"/>
        <v>190.22119104226249</v>
      </c>
      <c r="J16" s="117">
        <f t="shared" si="3"/>
        <v>0.23492099142162126</v>
      </c>
      <c r="K16" s="79" t="str">
        <f>Wine!L2</f>
        <v>ABS (2019b) + DPI (2019r)</v>
      </c>
      <c r="L16" s="253" t="str">
        <f>Wine!M2</f>
        <v>Australian Bureau of Statistics (2019). 7503.0 Value of Agricultural Commodities Produced, Australia 2017-18. Last accessed September 2019. 
&lt;http://www.abs.gov.au/ausstats/abs@.nsf/mf/7503.0&gt;</v>
      </c>
    </row>
    <row r="17" spans="1:12" x14ac:dyDescent="0.25">
      <c r="A17" s="254" t="s">
        <v>134</v>
      </c>
      <c r="B17" s="72" t="s">
        <v>11</v>
      </c>
      <c r="C17" s="80">
        <f>SUM(C18,C19:C25)</f>
        <v>5864.8461703800003</v>
      </c>
      <c r="D17" s="80">
        <f>SUM(D18,D19:D25)</f>
        <v>6188.6191809699985</v>
      </c>
      <c r="E17" s="80">
        <f>SUM(E18,E19:E25)</f>
        <v>6103.9130228900003</v>
      </c>
      <c r="F17" s="118">
        <f>SUM(F18,F19:F25)</f>
        <v>6501.68660095</v>
      </c>
      <c r="G17" s="118">
        <f>SUM(G18:G25)</f>
        <v>6733.3135783281577</v>
      </c>
      <c r="H17" s="115">
        <f t="shared" si="1"/>
        <v>3.5625675550758462E-2</v>
      </c>
      <c r="I17" s="150">
        <f t="shared" si="2"/>
        <v>6278.4757107036312</v>
      </c>
      <c r="J17" s="115">
        <f t="shared" si="3"/>
        <v>7.2443995737550226E-2</v>
      </c>
      <c r="K17" s="79"/>
      <c r="L17" s="253"/>
    </row>
    <row r="18" spans="1:12" x14ac:dyDescent="0.25">
      <c r="A18" s="252" t="s">
        <v>122</v>
      </c>
      <c r="B18" s="77" t="s">
        <v>11</v>
      </c>
      <c r="C18" s="78">
        <f>Beef!D2</f>
        <v>2292.88049473</v>
      </c>
      <c r="D18" s="78">
        <f>Beef!E2</f>
        <v>2561.8793802</v>
      </c>
      <c r="E18" s="78">
        <f>Beef!F2</f>
        <v>2364.1512830000001</v>
      </c>
      <c r="F18" s="116">
        <f>Beef!G2</f>
        <v>2387.2431421000001</v>
      </c>
      <c r="G18" s="116">
        <f>Beef!H2</f>
        <v>2588.297174728425</v>
      </c>
      <c r="H18" s="117">
        <f t="shared" si="1"/>
        <v>8.4220173924790309E-2</v>
      </c>
      <c r="I18" s="144">
        <f t="shared" si="2"/>
        <v>2438.8902949516851</v>
      </c>
      <c r="J18" s="117">
        <f t="shared" si="3"/>
        <v>6.1260188736656396E-2</v>
      </c>
      <c r="K18" s="79" t="str">
        <f>Beef!L2</f>
        <v>ABS (2019b) + DPI (2019r)</v>
      </c>
      <c r="L18" s="253" t="str">
        <f>Beef!M2</f>
        <v>Australian Bureau of Statistics (2019). 7503.0 Value of Agricultural Commodities Produced, Australia 2017-18. Last accessed September 2019. 
&lt;http://www.abs.gov.au/ausstats/abs@.nsf/mf/7503.0&gt;</v>
      </c>
    </row>
    <row r="19" spans="1:12" x14ac:dyDescent="0.25">
      <c r="A19" s="252" t="s">
        <v>124</v>
      </c>
      <c r="B19" s="77" t="s">
        <v>11</v>
      </c>
      <c r="C19" s="78">
        <f>'Sheep Meat'!D2</f>
        <v>753.55726917999993</v>
      </c>
      <c r="D19" s="78">
        <f>'Sheep Meat'!E2</f>
        <v>734.53268080999999</v>
      </c>
      <c r="E19" s="78">
        <f>'Sheep Meat'!F2</f>
        <v>832.55055429999993</v>
      </c>
      <c r="F19" s="116">
        <f>'Sheep Meat'!G2</f>
        <v>985.28036025999995</v>
      </c>
      <c r="G19" s="116">
        <f>'Sheep Meat'!H2</f>
        <v>1096.4453842674613</v>
      </c>
      <c r="H19" s="117">
        <f t="shared" si="1"/>
        <v>0.11282577882515255</v>
      </c>
      <c r="I19" s="144">
        <f t="shared" si="2"/>
        <v>880.47324976349205</v>
      </c>
      <c r="J19" s="117">
        <f t="shared" si="3"/>
        <v>0.24529096660458749</v>
      </c>
      <c r="K19" s="79" t="str">
        <f>'Sheep Meat'!L2</f>
        <v>ABS (2019b) + DPI (2019r)</v>
      </c>
      <c r="L19" s="253" t="str">
        <f>'Sheep Meat'!M2</f>
        <v>Australian Bureau of Statistics (2019). 7503.0 Value of Agricultural Commodities Produced, Australia 2017-18. Last accessed September 2019. 
&lt;http://www.abs.gov.au/ausstats/abs@.nsf/mf/7503.0&gt;</v>
      </c>
    </row>
    <row r="20" spans="1:12" ht="17.25" x14ac:dyDescent="0.25">
      <c r="A20" s="252" t="s">
        <v>141</v>
      </c>
      <c r="B20" s="77" t="s">
        <v>11</v>
      </c>
      <c r="C20" s="78">
        <f>+'Goat Meat'!D2</f>
        <v>6.9281969999999999</v>
      </c>
      <c r="D20" s="78">
        <f>+'Goat Meat'!E2</f>
        <v>6.9273035099999998</v>
      </c>
      <c r="E20" s="78">
        <f>+'Goat Meat'!F2</f>
        <v>12.359257289999999</v>
      </c>
      <c r="F20" s="116">
        <f>+'Goat Meat'!G2</f>
        <v>10.219749310000001</v>
      </c>
      <c r="G20" s="116">
        <f>+'Goat Meat'!H2</f>
        <v>7.7860704743190423</v>
      </c>
      <c r="H20" s="117">
        <f>+'Goat Meat'!I2</f>
        <v>-0.23813488588214293</v>
      </c>
      <c r="I20" s="144">
        <f>+'Goat Meat'!J2</f>
        <v>8.8441155168638073</v>
      </c>
      <c r="J20" s="117">
        <f>+'Goat Meat'!K2</f>
        <v>-0.11963265750286767</v>
      </c>
      <c r="K20" s="79" t="str">
        <f>+'Goat Meat'!L2</f>
        <v>ABS (2019b) + DPI (2019r)</v>
      </c>
      <c r="L20" s="253" t="str">
        <f>+'Goat Meat'!M2</f>
        <v>Australian Bureau of Statistics (2019). 7503.0 Value of Agricultural Commodities Produced, Australia 2017-18. Last accessed September 2019. 
&lt;http://www.abs.gov.au/ausstats/abs@.nsf/mf/7503.0&gt;</v>
      </c>
    </row>
    <row r="21" spans="1:12" x14ac:dyDescent="0.25">
      <c r="A21" s="252" t="s">
        <v>125</v>
      </c>
      <c r="B21" s="77" t="s">
        <v>11</v>
      </c>
      <c r="C21" s="78">
        <f>Pork!D2</f>
        <v>193.80555749999999</v>
      </c>
      <c r="D21" s="78">
        <f>Pork!E2</f>
        <v>212.35558723</v>
      </c>
      <c r="E21" s="78">
        <f>Pork!F2</f>
        <v>224.42336659999998</v>
      </c>
      <c r="F21" s="116">
        <f>Pork!G2</f>
        <v>200.61968869</v>
      </c>
      <c r="G21" s="116">
        <f>Pork!H2</f>
        <v>193.76167734600003</v>
      </c>
      <c r="H21" s="117">
        <f t="shared" si="1"/>
        <v>-3.4184139098117461E-2</v>
      </c>
      <c r="I21" s="144">
        <f t="shared" si="2"/>
        <v>204.99317547319998</v>
      </c>
      <c r="J21" s="117">
        <f t="shared" si="3"/>
        <v>-5.4789619709404991E-2</v>
      </c>
      <c r="K21" s="79" t="str">
        <f>Pork!L2</f>
        <v>ABS (2019b) + DPI (2019r)</v>
      </c>
      <c r="L21" s="253" t="str">
        <f>Pork!M2</f>
        <v>Australian Bureau of Statistics (2019). 7503.0 Value of Agricultural Commodities Produced, Australia 2017-18. Last accessed September 2019. 
&lt;http://www.abs.gov.au/ausstats/abs@.nsf/mf/7503.0&gt;</v>
      </c>
    </row>
    <row r="22" spans="1:12" x14ac:dyDescent="0.25">
      <c r="A22" s="252" t="s">
        <v>74</v>
      </c>
      <c r="B22" s="77" t="s">
        <v>11</v>
      </c>
      <c r="C22" s="78">
        <f>Poultry!D2</f>
        <v>876.72988754999994</v>
      </c>
      <c r="D22" s="78">
        <f>Poultry!E2</f>
        <v>874.99066541000002</v>
      </c>
      <c r="E22" s="78">
        <f>Poultry!F2</f>
        <v>771.1375458</v>
      </c>
      <c r="F22" s="116">
        <f>Poultry!G2</f>
        <v>782.76175211999998</v>
      </c>
      <c r="G22" s="116">
        <f>Poultry!H2</f>
        <v>785.13399987000003</v>
      </c>
      <c r="H22" s="117">
        <f t="shared" si="1"/>
        <v>3.0306127548709316E-3</v>
      </c>
      <c r="I22" s="144">
        <f t="shared" si="2"/>
        <v>818.15077014999997</v>
      </c>
      <c r="J22" s="117">
        <f t="shared" si="3"/>
        <v>-4.0355361731122752E-2</v>
      </c>
      <c r="K22" s="79" t="str">
        <f>Poultry!L2</f>
        <v>ABS (2019b) + DPI (2019r)</v>
      </c>
      <c r="L22" s="253" t="str">
        <f>Poultry!M2</f>
        <v>Australian Bureau of Statistics (2019). 7503.0 Value of Agricultural Commodities Produced, Australia 2017-18. Last accessed September 2019. 
&lt;http://www.abs.gov.au/ausstats/abs@.nsf/mf/7503.0&gt;</v>
      </c>
    </row>
    <row r="23" spans="1:12" x14ac:dyDescent="0.25">
      <c r="A23" s="252" t="s">
        <v>76</v>
      </c>
      <c r="B23" s="77" t="s">
        <v>11</v>
      </c>
      <c r="C23" s="78">
        <f>Wool!D2</f>
        <v>890.00490227</v>
      </c>
      <c r="D23" s="78">
        <f>Wool!E2</f>
        <v>946.09576192999998</v>
      </c>
      <c r="E23" s="78">
        <f>Wool!F2</f>
        <v>1094.983751</v>
      </c>
      <c r="F23" s="116">
        <f>Wool!G2</f>
        <v>1306.2432659999999</v>
      </c>
      <c r="G23" s="116">
        <f>Wool!H2</f>
        <v>1225.7115191585483</v>
      </c>
      <c r="H23" s="117">
        <f t="shared" si="1"/>
        <v>-6.1651415886764593E-2</v>
      </c>
      <c r="I23" s="144">
        <f t="shared" si="2"/>
        <v>1092.6078400717097</v>
      </c>
      <c r="J23" s="117">
        <f t="shared" si="3"/>
        <v>0.12182200621780526</v>
      </c>
      <c r="K23" s="79" t="str">
        <f>Wool!L2</f>
        <v>ABS (2019b) + DPI (2019r)</v>
      </c>
      <c r="L23" s="253" t="str">
        <f>Wool!M2</f>
        <v>Australian Bureau of Statistics (2019). 7503.0 Value of Agricultural Commodities Produced, Australia 2017-18. Last accessed September 2019. 
&lt;http://www.abs.gov.au/ausstats/abs@.nsf/mf/7503.0&gt;</v>
      </c>
    </row>
    <row r="24" spans="1:12" x14ac:dyDescent="0.25">
      <c r="A24" s="252" t="s">
        <v>78</v>
      </c>
      <c r="B24" s="77" t="s">
        <v>11</v>
      </c>
      <c r="C24" s="78">
        <f>Eggs!D2</f>
        <v>239.03287349999999</v>
      </c>
      <c r="D24" s="78">
        <f>Eggs!E2</f>
        <v>258.14940296999998</v>
      </c>
      <c r="E24" s="78">
        <f>Eggs!F2</f>
        <v>255.51483049999999</v>
      </c>
      <c r="F24" s="116">
        <f>Eggs!G2</f>
        <v>263.09533299000003</v>
      </c>
      <c r="G24" s="116">
        <f>Eggs!H2</f>
        <v>268.67718818408366</v>
      </c>
      <c r="H24" s="117">
        <f t="shared" si="1"/>
        <v>2.1216093537834713E-2</v>
      </c>
      <c r="I24" s="144">
        <f t="shared" si="2"/>
        <v>256.8939256288167</v>
      </c>
      <c r="J24" s="117">
        <f t="shared" si="3"/>
        <v>4.5868202319008677E-2</v>
      </c>
      <c r="K24" s="79" t="str">
        <f>Eggs!L2</f>
        <v>ABS (2019b) + DPI (2019r)</v>
      </c>
      <c r="L24" s="253" t="str">
        <f>Eggs!M2</f>
        <v>Australian Bureau of Statistics (2019). 7503.0 Value of Agricultural Commodities Produced, Australia 2017-18. Last accessed September 2019. 
&lt;http://www.abs.gov.au/ausstats/abs@.nsf/mf/7503.0&gt;</v>
      </c>
    </row>
    <row r="25" spans="1:12" x14ac:dyDescent="0.25">
      <c r="A25" s="252" t="s">
        <v>77</v>
      </c>
      <c r="B25" s="77" t="s">
        <v>11</v>
      </c>
      <c r="C25" s="78">
        <f>Milk!D2</f>
        <v>611.90698865000002</v>
      </c>
      <c r="D25" s="78">
        <f>Milk!E2</f>
        <v>593.68839890999993</v>
      </c>
      <c r="E25" s="78">
        <f>Milk!F2</f>
        <v>548.79243439999993</v>
      </c>
      <c r="F25" s="116">
        <f>Milk!G2</f>
        <v>566.22330948000001</v>
      </c>
      <c r="G25" s="116">
        <f>Milk!H2</f>
        <v>567.50056429931988</v>
      </c>
      <c r="H25" s="117">
        <f t="shared" si="1"/>
        <v>2.2557439758050801E-3</v>
      </c>
      <c r="I25" s="144">
        <f t="shared" si="2"/>
        <v>577.62233914786395</v>
      </c>
      <c r="J25" s="117">
        <f t="shared" si="3"/>
        <v>-1.7523170699173751E-2</v>
      </c>
      <c r="K25" s="79" t="str">
        <f>Milk!L2</f>
        <v>ABS (2019b) + DPI (2019r)</v>
      </c>
      <c r="L25" s="253" t="str">
        <f>Milk!M2</f>
        <v>Australian Bureau of Statistics (2019). 7503.0 Value of Agricultural Commodities Produced, Australia 2017-18. Last accessed September 2019. 
&lt;http://www.abs.gov.au/ausstats/abs@.nsf/mf/7503.0&gt;</v>
      </c>
    </row>
    <row r="26" spans="1:12" ht="17.25" x14ac:dyDescent="0.25">
      <c r="A26" s="250" t="s">
        <v>565</v>
      </c>
      <c r="B26" s="72" t="s">
        <v>11</v>
      </c>
      <c r="C26" s="80">
        <f>SUM(C27:C28,C29:C30)</f>
        <v>616.40201869428438</v>
      </c>
      <c r="D26" s="80">
        <f t="shared" ref="C26:E26" si="5">SUM(D27:D28,D29:D30)</f>
        <v>614.10182421027707</v>
      </c>
      <c r="E26" s="80">
        <f t="shared" si="5"/>
        <v>655.32765384390098</v>
      </c>
      <c r="F26" s="80">
        <f>SUM(F27:F28,F29:F30)</f>
        <v>721.83156194450692</v>
      </c>
      <c r="G26" s="80">
        <f>SUM(G27:G28,G29:G30)</f>
        <v>759.27270109601739</v>
      </c>
      <c r="H26" s="115">
        <f t="shared" si="1"/>
        <v>5.1869634310045321E-2</v>
      </c>
      <c r="I26" s="150">
        <f t="shared" si="2"/>
        <v>673.38715195779741</v>
      </c>
      <c r="J26" s="115">
        <f t="shared" si="3"/>
        <v>0.12754260144185614</v>
      </c>
      <c r="K26" s="162"/>
      <c r="L26" s="253"/>
    </row>
    <row r="27" spans="1:12" ht="17.25" x14ac:dyDescent="0.25">
      <c r="A27" s="252" t="s">
        <v>564</v>
      </c>
      <c r="B27" s="77" t="s">
        <v>11</v>
      </c>
      <c r="C27" s="78">
        <f>Forestry!D4</f>
        <v>121.68955470746499</v>
      </c>
      <c r="D27" s="78">
        <f>Forestry!E4</f>
        <v>114.62887520960599</v>
      </c>
      <c r="E27" s="158">
        <f>Forestry!F4</f>
        <v>122.39549331714601</v>
      </c>
      <c r="F27" s="78">
        <f>Forestry!G4</f>
        <v>150.44536483922212</v>
      </c>
      <c r="G27" s="78">
        <f>Forestry!H4</f>
        <v>145.80668472171104</v>
      </c>
      <c r="H27" s="117">
        <f t="shared" si="1"/>
        <v>-3.0832987925339839E-2</v>
      </c>
      <c r="I27" s="144">
        <f t="shared" si="2"/>
        <v>130.99319455903003</v>
      </c>
      <c r="J27" s="117">
        <f t="shared" si="3"/>
        <v>0.11308595238514885</v>
      </c>
      <c r="K27" s="79" t="str">
        <f>Forestry!L4</f>
        <v>ABARES (2019c)</v>
      </c>
      <c r="L27" s="255" t="s">
        <v>137</v>
      </c>
    </row>
    <row r="28" spans="1:12" ht="17.25" x14ac:dyDescent="0.25">
      <c r="A28" s="252" t="s">
        <v>563</v>
      </c>
      <c r="B28" s="77" t="s">
        <v>11</v>
      </c>
      <c r="C28" s="78">
        <f>Forestry!D3</f>
        <v>347.27632398681936</v>
      </c>
      <c r="D28" s="78">
        <f>Forestry!E3</f>
        <v>343.507646000671</v>
      </c>
      <c r="E28" s="158">
        <f>Forestry!F3</f>
        <v>373.61469852675498</v>
      </c>
      <c r="F28" s="78">
        <f>Forestry!G3</f>
        <v>393.45647978689499</v>
      </c>
      <c r="G28" s="78">
        <f>Forestry!H3</f>
        <v>432.17993525565743</v>
      </c>
      <c r="H28" s="117">
        <f t="shared" si="1"/>
        <v>9.8418649731568664E-2</v>
      </c>
      <c r="I28" s="144">
        <f t="shared" si="2"/>
        <v>378.0070167113596</v>
      </c>
      <c r="J28" s="117">
        <f t="shared" si="3"/>
        <v>0.14331193906292872</v>
      </c>
      <c r="K28" s="79" t="str">
        <f>Forestry!L3</f>
        <v>ABARES (2019c)</v>
      </c>
      <c r="L28" s="255" t="s">
        <v>137</v>
      </c>
    </row>
    <row r="29" spans="1:12" ht="17.25" x14ac:dyDescent="0.25">
      <c r="A29" s="252" t="s">
        <v>562</v>
      </c>
      <c r="B29" s="77" t="s">
        <v>11</v>
      </c>
      <c r="C29" s="78">
        <f>Fisheries!D3</f>
        <v>60.659820000000003</v>
      </c>
      <c r="D29" s="78">
        <f>Fisheries!E3</f>
        <v>64.885302999999993</v>
      </c>
      <c r="E29" s="158">
        <f>Fisheries!F3</f>
        <v>70.014461999999995</v>
      </c>
      <c r="F29" s="78">
        <f>Fisheries!G3</f>
        <v>78.442234999999997</v>
      </c>
      <c r="G29" s="78">
        <f>Fisheries!H3</f>
        <v>80.100033194489995</v>
      </c>
      <c r="H29" s="117">
        <f t="shared" si="1"/>
        <v>2.1133999999999986E-2</v>
      </c>
      <c r="I29" s="144">
        <f t="shared" si="2"/>
        <v>70.820370638897984</v>
      </c>
      <c r="J29" s="117">
        <f t="shared" si="3"/>
        <v>0.13103097981381029</v>
      </c>
      <c r="K29" s="163" t="str">
        <f>Fisheries!L3</f>
        <v>DPI (2019d)</v>
      </c>
      <c r="L29" s="253" t="str">
        <f>Fisheries!M3</f>
        <v>NSW Department of Primary Industries (2019). Aquaculture Production Report 2017-18. Last accessed September 2019. &lt;https://www.dpi.nsw.gov.au/fishing/aquaculture/publications/aquaculture-production-reports&gt;</v>
      </c>
    </row>
    <row r="30" spans="1:12" ht="17.25" x14ac:dyDescent="0.25">
      <c r="A30" s="252" t="s">
        <v>561</v>
      </c>
      <c r="B30" s="77" t="s">
        <v>11</v>
      </c>
      <c r="C30" s="78">
        <f>Fisheries!D4</f>
        <v>86.776319999999998</v>
      </c>
      <c r="D30" s="78">
        <f>Fisheries!E4</f>
        <v>91.08</v>
      </c>
      <c r="E30" s="158">
        <f>Fisheries!F4</f>
        <v>89.302999999999997</v>
      </c>
      <c r="F30" s="78">
        <f>Fisheries!G4</f>
        <v>99.487482318389908</v>
      </c>
      <c r="G30" s="78">
        <f>Fisheries!H4</f>
        <v>101.1860479241589</v>
      </c>
      <c r="H30" s="117">
        <f t="shared" si="1"/>
        <v>1.7073159016458561E-2</v>
      </c>
      <c r="I30" s="144">
        <f t="shared" si="2"/>
        <v>93.56657004850976</v>
      </c>
      <c r="J30" s="117">
        <f t="shared" si="3"/>
        <v>8.143376284605508E-2</v>
      </c>
      <c r="K30" s="79" t="str">
        <f>Fisheries!L4</f>
        <v>DPI (2019c)</v>
      </c>
      <c r="L30" s="253" t="str">
        <f>Fisheries!M4</f>
        <v>NSW Department of Primary Industries (2019). Unpublished Internal Wild Caught Landings Estimates 2017-18. Provided May 2019.</v>
      </c>
    </row>
    <row r="31" spans="1:12" ht="17.25" x14ac:dyDescent="0.25">
      <c r="A31" s="250" t="s">
        <v>566</v>
      </c>
      <c r="B31" s="72" t="s">
        <v>11</v>
      </c>
      <c r="C31" s="80">
        <f>SUM(C32:C34)</f>
        <v>3024.2536992629157</v>
      </c>
      <c r="D31" s="80">
        <f t="shared" ref="D31:G31" si="6">SUM(D32:D34)</f>
        <v>3077.6048408159722</v>
      </c>
      <c r="E31" s="80">
        <f t="shared" si="6"/>
        <v>3630.9314576556417</v>
      </c>
      <c r="F31" s="326">
        <f t="shared" si="6"/>
        <v>3805.755117047695</v>
      </c>
      <c r="G31" s="118">
        <f t="shared" si="6"/>
        <v>3958.7997332582004</v>
      </c>
      <c r="H31" s="115">
        <f t="shared" ref="H31" si="7">IF(ISBLANK(G31),"N/A",IF(ISNA(G31/F31-1),"N/A",IF(ISERROR(G31/F31-1),"N/A",G31/F31-1)))</f>
        <v>4.0213994727340552E-2</v>
      </c>
      <c r="I31" s="150">
        <f t="shared" ref="I31" si="8">IF(ISBLANK(G31),"",IF(ISNA(AVERAGE(C31:G31)),"N/A",IF(ISERROR(AVERAGE(C31:G31)),"N/A",AVERAGE(C31:G31))))</f>
        <v>3499.468969608085</v>
      </c>
      <c r="J31" s="115">
        <f t="shared" ref="J31" si="9">IF(ISBLANK(G31),"",IF(ISNA(G31/AVERAGE(C31:G31)-1),"N/A",IF(ISERROR(G31/AVERAGE(C31:G31)-1),"N/A",G31/AVERAGE(C31:G31)-1)))</f>
        <v>0.13125727578649093</v>
      </c>
      <c r="K31" s="79"/>
      <c r="L31" s="253"/>
    </row>
    <row r="32" spans="1:12" x14ac:dyDescent="0.25">
      <c r="A32" s="252" t="s">
        <v>449</v>
      </c>
      <c r="B32" s="77" t="s">
        <v>11</v>
      </c>
      <c r="C32" s="78">
        <v>1111.7468311193534</v>
      </c>
      <c r="D32" s="78">
        <v>1126.2880036507181</v>
      </c>
      <c r="E32" s="78">
        <v>1466</v>
      </c>
      <c r="F32" s="116">
        <v>1540.9948420230367</v>
      </c>
      <c r="G32" s="116">
        <v>1596.24728197181</v>
      </c>
      <c r="H32" s="117">
        <f t="shared" ref="H32" si="10">IF(ISBLANK(G32),"N/A",IF(ISNA(G32/F32-1),"N/A",IF(ISERROR(G32/F32-1),"N/A",G32/F32-1)))</f>
        <v>3.5855045352544579E-2</v>
      </c>
      <c r="I32" s="144">
        <f t="shared" ref="I32" si="11">IF(ISBLANK(G32),"",IF(ISNA(AVERAGE(C32:G32)),"N/A",IF(ISERROR(AVERAGE(C32:G32)),"N/A",AVERAGE(C32:G32))))</f>
        <v>1368.2553917529835</v>
      </c>
      <c r="J32" s="117">
        <f t="shared" ref="J32" si="12">IF(ISBLANK(G32),"",IF(ISNA(G32/AVERAGE(C32:G32)-1),"N/A",IF(ISERROR(G32/AVERAGE(C32:G32)-1),"N/A",G32/AVERAGE(C32:G32)-1)))</f>
        <v>0.16662963039869871</v>
      </c>
      <c r="K32" s="79" t="s">
        <v>452</v>
      </c>
      <c r="L32" s="253" t="s">
        <v>458</v>
      </c>
    </row>
    <row r="33" spans="1:12" x14ac:dyDescent="0.25">
      <c r="A33" s="252" t="s">
        <v>450</v>
      </c>
      <c r="B33" s="77" t="s">
        <v>11</v>
      </c>
      <c r="C33" s="159">
        <v>1896.6521979823481</v>
      </c>
      <c r="D33" s="159">
        <v>1945.3640747083282</v>
      </c>
      <c r="E33" s="159">
        <v>2141.0799211662043</v>
      </c>
      <c r="F33" s="160">
        <v>2240.9170852280463</v>
      </c>
      <c r="G33" s="160">
        <v>2338.3118749931682</v>
      </c>
      <c r="H33" s="117">
        <f t="shared" ref="H33:H34" si="13">IF(ISBLANK(G33),"N/A",IF(ISNA(G33/F33-1),"N/A",IF(ISERROR(G33/F33-1),"N/A",G33/F33-1)))</f>
        <v>4.3462022940135014E-2</v>
      </c>
      <c r="I33" s="144">
        <f t="shared" ref="I33:I34" si="14">IF(ISBLANK(G33),"",IF(ISNA(AVERAGE(C33:G33)),"N/A",IF(ISERROR(AVERAGE(C33:G33)),"N/A",AVERAGE(C33:G33))))</f>
        <v>2112.4650308156188</v>
      </c>
      <c r="J33" s="117">
        <f t="shared" ref="J33:J34" si="15">IF(ISBLANK(G33),"",IF(ISNA(G33/AVERAGE(C33:G33)-1),"N/A",IF(ISERROR(G33/AVERAGE(C33:G33)-1),"N/A",G33/AVERAGE(C33:G33)-1)))</f>
        <v>0.10691151847865155</v>
      </c>
      <c r="K33" s="79" t="s">
        <v>451</v>
      </c>
      <c r="L33" s="253" t="s">
        <v>457</v>
      </c>
    </row>
    <row r="34" spans="1:12" ht="17.25" x14ac:dyDescent="0.25">
      <c r="A34" s="256" t="s">
        <v>460</v>
      </c>
      <c r="B34" s="77" t="s">
        <v>11</v>
      </c>
      <c r="C34" s="78">
        <v>15.854670161213916</v>
      </c>
      <c r="D34" s="78">
        <v>5.9527624569261333</v>
      </c>
      <c r="E34" s="78">
        <v>23.851536489437454</v>
      </c>
      <c r="F34" s="116">
        <v>23.84318979661186</v>
      </c>
      <c r="G34" s="116">
        <v>24.240576293222055</v>
      </c>
      <c r="H34" s="117">
        <f t="shared" si="13"/>
        <v>1.6666666666666607E-2</v>
      </c>
      <c r="I34" s="144">
        <f t="shared" si="14"/>
        <v>18.748547039482286</v>
      </c>
      <c r="J34" s="117">
        <f t="shared" si="15"/>
        <v>0.2929309264432165</v>
      </c>
      <c r="K34" s="79" t="s">
        <v>454</v>
      </c>
      <c r="L34" s="253" t="s">
        <v>453</v>
      </c>
    </row>
    <row r="35" spans="1:12" x14ac:dyDescent="0.25">
      <c r="A35" s="257" t="s">
        <v>131</v>
      </c>
      <c r="B35" s="259" t="s">
        <v>11</v>
      </c>
      <c r="C35" s="259">
        <f t="shared" ref="C35:F35" si="16">SUM(C29:C30,C27:C28,C19:C25,C18,C13:C16,C3:C11,C32:C34)</f>
        <v>15583.5762139172</v>
      </c>
      <c r="D35" s="259">
        <f t="shared" si="16"/>
        <v>16777.552569336251</v>
      </c>
      <c r="E35" s="259">
        <f t="shared" si="16"/>
        <v>18787.249234319544</v>
      </c>
      <c r="F35" s="259">
        <f t="shared" si="16"/>
        <v>17791.287844192208</v>
      </c>
      <c r="G35" s="259">
        <f>SUM(G29:G30,G27:G28,G19:G25,G18,G13:G16,G3:G11,G32:G34)</f>
        <v>15912.466037309125</v>
      </c>
      <c r="H35" s="258">
        <f t="shared" si="1"/>
        <v>-0.10560347420248195</v>
      </c>
      <c r="I35" s="259">
        <f>IF(ISBLANK(G35),"",IF(ISNA(AVERAGE(C35:G35)),"N/A",IF(ISERROR(AVERAGE(C35:G35)),"N/A",AVERAGE(C35:G35))))</f>
        <v>16970.426379814868</v>
      </c>
      <c r="J35" s="260">
        <f t="shared" si="3"/>
        <v>-6.2341411985034956E-2</v>
      </c>
      <c r="K35" s="261"/>
      <c r="L35" s="262"/>
    </row>
    <row r="36" spans="1:12" x14ac:dyDescent="0.25">
      <c r="A36" s="53" t="s">
        <v>80</v>
      </c>
    </row>
    <row r="37" spans="1:12" ht="17.25" x14ac:dyDescent="0.25">
      <c r="A37" s="49" t="s">
        <v>139</v>
      </c>
      <c r="B37"/>
      <c r="C37"/>
      <c r="D37"/>
      <c r="E37"/>
      <c r="F37"/>
      <c r="G37"/>
      <c r="H37"/>
      <c r="I37"/>
      <c r="J37"/>
    </row>
    <row r="38" spans="1:12" ht="17.25" x14ac:dyDescent="0.25">
      <c r="A38" s="179" t="s">
        <v>420</v>
      </c>
      <c r="B38"/>
      <c r="C38"/>
      <c r="D38"/>
      <c r="E38"/>
      <c r="F38"/>
      <c r="G38"/>
      <c r="H38"/>
      <c r="I38"/>
      <c r="J38"/>
    </row>
    <row r="39" spans="1:12" ht="17.25" x14ac:dyDescent="0.25">
      <c r="A39" s="2" t="s">
        <v>142</v>
      </c>
      <c r="B39"/>
      <c r="C39"/>
      <c r="D39"/>
      <c r="E39"/>
      <c r="F39"/>
      <c r="G39"/>
      <c r="H39"/>
      <c r="I39"/>
      <c r="J39"/>
    </row>
    <row r="40" spans="1:12" ht="17.25" x14ac:dyDescent="0.25">
      <c r="A40" s="81" t="s">
        <v>519</v>
      </c>
      <c r="B40"/>
      <c r="C40"/>
      <c r="D40"/>
      <c r="E40"/>
      <c r="F40"/>
      <c r="G40"/>
      <c r="H40"/>
      <c r="I40"/>
      <c r="J40"/>
    </row>
    <row r="41" spans="1:12" ht="17.25" x14ac:dyDescent="0.25">
      <c r="A41" s="81" t="s">
        <v>532</v>
      </c>
    </row>
    <row r="42" spans="1:12" ht="17.25" x14ac:dyDescent="0.25">
      <c r="A42" s="81" t="s">
        <v>269</v>
      </c>
    </row>
    <row r="43" spans="1:12" ht="17.25" x14ac:dyDescent="0.25">
      <c r="A43" s="81" t="s">
        <v>567</v>
      </c>
    </row>
    <row r="44" spans="1:12" ht="17.25" x14ac:dyDescent="0.25">
      <c r="A44" s="81" t="s">
        <v>459</v>
      </c>
    </row>
  </sheetData>
  <conditionalFormatting sqref="C31:G31 K31:L31 A35 A2:L25 B32:L34 H35:L35 B26:L30">
    <cfRule type="expression" dxfId="73" priority="12">
      <formula>MOD(ROW(),2)=0</formula>
    </cfRule>
  </conditionalFormatting>
  <conditionalFormatting sqref="A27:A30 A32:A34">
    <cfRule type="expression" dxfId="72" priority="8">
      <formula>MOD(ROW(),2)=0</formula>
    </cfRule>
  </conditionalFormatting>
  <conditionalFormatting sqref="A26">
    <cfRule type="expression" dxfId="71" priority="7">
      <formula>MOD(ROW(),2)=0</formula>
    </cfRule>
  </conditionalFormatting>
  <conditionalFormatting sqref="A31">
    <cfRule type="expression" dxfId="70" priority="6">
      <formula>MOD(ROW(),2)=0</formula>
    </cfRule>
  </conditionalFormatting>
  <conditionalFormatting sqref="H31:J31">
    <cfRule type="expression" dxfId="69" priority="5">
      <formula>MOD(ROW(),2)=0</formula>
    </cfRule>
  </conditionalFormatting>
  <conditionalFormatting sqref="B31">
    <cfRule type="expression" dxfId="68" priority="4">
      <formula>MOD(ROW(),2)=0</formula>
    </cfRule>
  </conditionalFormatting>
  <conditionalFormatting sqref="B35:G35">
    <cfRule type="expression" dxfId="1" priority="1">
      <formula>MOD(ROW(),2)=0</formula>
    </cfRule>
  </conditionalFormatting>
  <pageMargins left="0.7" right="0.7" top="0.75" bottom="0.75" header="0.3" footer="0.3"/>
  <pageSetup paperSize="9" scale="33"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2D050"/>
  </sheetPr>
  <dimension ref="A1:L72"/>
  <sheetViews>
    <sheetView workbookViewId="0">
      <selection activeCell="J36" sqref="J36"/>
    </sheetView>
  </sheetViews>
  <sheetFormatPr defaultRowHeight="15" x14ac:dyDescent="0.25"/>
  <cols>
    <col min="1" max="1" width="43.85546875" style="8" customWidth="1"/>
    <col min="2" max="2" width="17.140625" style="8" customWidth="1"/>
    <col min="3" max="5" width="9.5703125" style="8" bestFit="1" customWidth="1"/>
    <col min="6" max="6" width="9.5703125" style="95" bestFit="1" customWidth="1"/>
    <col min="7" max="7" width="9.5703125" style="95" customWidth="1"/>
    <col min="8" max="10" width="14.5703125" style="95" customWidth="1"/>
    <col min="11" max="11" width="36.5703125" bestFit="1" customWidth="1"/>
    <col min="12" max="12" width="187.7109375" bestFit="1" customWidth="1"/>
  </cols>
  <sheetData>
    <row r="1" spans="1:12" ht="30" x14ac:dyDescent="0.25">
      <c r="A1" s="244" t="s">
        <v>173</v>
      </c>
      <c r="B1" s="245" t="s">
        <v>1</v>
      </c>
      <c r="C1" s="245" t="str">
        <f>'Output Table'!C1</f>
        <v>2014-15</v>
      </c>
      <c r="D1" s="245" t="str">
        <f>'Output Table'!D1</f>
        <v>2015-16</v>
      </c>
      <c r="E1" s="245" t="str">
        <f>'Output Table'!E1</f>
        <v>2016-17</v>
      </c>
      <c r="F1" s="245" t="str">
        <f>'Output Table'!F1</f>
        <v>2017-18</v>
      </c>
      <c r="G1" s="245" t="str">
        <f>'Output Table'!G1</f>
        <v>2018-19e</v>
      </c>
      <c r="H1" s="247" t="s">
        <v>136</v>
      </c>
      <c r="I1" s="247" t="s">
        <v>428</v>
      </c>
      <c r="J1" s="247" t="s">
        <v>422</v>
      </c>
      <c r="K1" s="248" t="s">
        <v>15</v>
      </c>
      <c r="L1" s="249" t="s">
        <v>16</v>
      </c>
    </row>
    <row r="2" spans="1:12" x14ac:dyDescent="0.25">
      <c r="A2" s="250" t="s">
        <v>146</v>
      </c>
      <c r="B2" s="72"/>
      <c r="C2" s="73"/>
      <c r="D2" s="73"/>
      <c r="E2" s="73"/>
      <c r="F2" s="91"/>
      <c r="G2" s="91"/>
      <c r="H2" s="92"/>
      <c r="I2" s="92"/>
      <c r="J2" s="92"/>
      <c r="K2" s="76"/>
      <c r="L2" s="251"/>
    </row>
    <row r="3" spans="1:12" x14ac:dyDescent="0.25">
      <c r="A3" s="252" t="s">
        <v>65</v>
      </c>
      <c r="B3" s="77" t="s">
        <v>12</v>
      </c>
      <c r="C3" s="98">
        <f>+Wheat!D5</f>
        <v>6653.67</v>
      </c>
      <c r="D3" s="98">
        <f>+Wheat!E5</f>
        <v>6897.527</v>
      </c>
      <c r="E3" s="98">
        <f>+Wheat!F5</f>
        <v>9819.1200000000008</v>
      </c>
      <c r="F3" s="98">
        <f>+Wheat!G5</f>
        <v>4702.8419999999996</v>
      </c>
      <c r="G3" s="98">
        <f>+Wheat!H5</f>
        <v>1800</v>
      </c>
      <c r="H3" s="99">
        <f>IF(ISBLANK(G3),"N/A",IF(ISNA(G3/F3-1),"N/A",IF(ISERROR(G3/F3-1),"N/A",G3/F3-1)))</f>
        <v>-0.61725271654884428</v>
      </c>
      <c r="I3" s="147">
        <f>IF(ISBLANK(G3),"",IF(ISNA(AVERAGE(C3:G3)),"N/A",IF(ISERROR(AVERAGE(C3:G3)),"N/A",AVERAGE(C3:G3))))</f>
        <v>5974.631800000001</v>
      </c>
      <c r="J3" s="99">
        <f>IF(ISBLANK(G3),"",IF(ISNA(G3/AVERAGE(C3:G3)-1),"N/A",IF(ISERROR(G3/AVERAGE(C3:G3)-1),"N/A",G3/AVERAGE(C3:G3)-1)))</f>
        <v>-0.69872620434953003</v>
      </c>
      <c r="K3" s="79" t="str">
        <f>Wheat!L5</f>
        <v>ABARES (2019b)</v>
      </c>
      <c r="L3" s="263" t="str">
        <f>Wheat!M5</f>
        <v>Australian Bureau of Agricultural and Resource Economics and Sciences (2019). Australian Crop Report, September 2019. Last accessed September 2019.</v>
      </c>
    </row>
    <row r="4" spans="1:12" x14ac:dyDescent="0.25">
      <c r="A4" s="252" t="s">
        <v>66</v>
      </c>
      <c r="B4" s="77" t="s">
        <v>12</v>
      </c>
      <c r="C4" s="98">
        <f>+Barley!D5</f>
        <v>1868.86</v>
      </c>
      <c r="D4" s="98">
        <f>+Barley!E5</f>
        <v>2527.6550000000002</v>
      </c>
      <c r="E4" s="98">
        <f>+Barley!F5</f>
        <v>2832.1239999999998</v>
      </c>
      <c r="F4" s="98">
        <f>+Barley!G5</f>
        <v>1304.643</v>
      </c>
      <c r="G4" s="98">
        <f>+Barley!H5</f>
        <v>630</v>
      </c>
      <c r="H4" s="99">
        <f t="shared" ref="H4:H11" si="0">IF(ISBLANK(G4),"N/A",IF(ISNA(G4/F4-1),"N/A",IF(ISERROR(G4/F4-1),"N/A",G4/F4-1)))</f>
        <v>-0.51710927817035013</v>
      </c>
      <c r="I4" s="147">
        <f t="shared" ref="I4:I32" si="1">IF(ISBLANK(G4),"",IF(ISNA(AVERAGE(C4:G4)),"N/A",IF(ISERROR(AVERAGE(C4:G4)),"N/A",AVERAGE(C4:G4))))</f>
        <v>1832.6563999999998</v>
      </c>
      <c r="J4" s="99">
        <f t="shared" ref="J4:J11" si="2">IF(ISBLANK(G4),"",IF(ISNA(G4/AVERAGE(C4:G4)-1),"N/A",IF(ISERROR(G4/AVERAGE(C4:G4)-1),"N/A",G4/AVERAGE(C4:G4)-1)))</f>
        <v>-0.65623670645517618</v>
      </c>
      <c r="K4" s="79" t="str">
        <f>Barley!L5</f>
        <v>ABARES (2019b)</v>
      </c>
      <c r="L4" s="253" t="str">
        <f>Barley!M5</f>
        <v>Australian Bureau of Agricultural and Resource Economics and Sciences (2019). Australian Crop Report, September 2019. Last accessed September 2019.</v>
      </c>
    </row>
    <row r="5" spans="1:12" x14ac:dyDescent="0.25">
      <c r="A5" s="252" t="s">
        <v>67</v>
      </c>
      <c r="B5" s="77" t="s">
        <v>12</v>
      </c>
      <c r="C5" s="98">
        <f>Rice!D5</f>
        <v>687.57799999999997</v>
      </c>
      <c r="D5" s="98">
        <f>Rice!E5</f>
        <v>262.35899999999998</v>
      </c>
      <c r="E5" s="98">
        <f>Rice!F5</f>
        <v>806.40099999999995</v>
      </c>
      <c r="F5" s="98">
        <f>Rice!G5</f>
        <v>628.13499999999999</v>
      </c>
      <c r="G5" s="98">
        <f>Rice!H5</f>
        <v>54</v>
      </c>
      <c r="H5" s="99">
        <f t="shared" si="0"/>
        <v>-0.91403121940347221</v>
      </c>
      <c r="I5" s="147">
        <f t="shared" si="1"/>
        <v>487.69459999999998</v>
      </c>
      <c r="J5" s="99">
        <f t="shared" si="2"/>
        <v>-0.8892749683921044</v>
      </c>
      <c r="K5" s="79" t="str">
        <f>Rice!L5</f>
        <v>ABARES (2019b)</v>
      </c>
      <c r="L5" s="253" t="str">
        <f>Rice!M5</f>
        <v>Australian Bureau of Agricultural and Resource Economics and Sciences (2019). Australian Crop Report, September 2019. Last accessed September 2019.</v>
      </c>
    </row>
    <row r="6" spans="1:12" x14ac:dyDescent="0.25">
      <c r="A6" s="252" t="s">
        <v>68</v>
      </c>
      <c r="B6" s="77" t="s">
        <v>12</v>
      </c>
      <c r="C6" s="98">
        <f>Sorghum!D5</f>
        <v>586.28800000000001</v>
      </c>
      <c r="D6" s="98">
        <f>Sorghum!E5</f>
        <v>604.36900000000003</v>
      </c>
      <c r="E6" s="98">
        <f>Sorghum!F5</f>
        <v>386.625</v>
      </c>
      <c r="F6" s="98">
        <f>Sorghum!G5</f>
        <v>279.02300000000002</v>
      </c>
      <c r="G6" s="98">
        <f>Sorghum!H5</f>
        <v>275</v>
      </c>
      <c r="H6" s="99">
        <f t="shared" si="0"/>
        <v>-1.4418166244359876E-2</v>
      </c>
      <c r="I6" s="147">
        <f t="shared" si="1"/>
        <v>426.26100000000008</v>
      </c>
      <c r="J6" s="99">
        <f t="shared" si="2"/>
        <v>-0.35485535857139183</v>
      </c>
      <c r="K6" s="79" t="str">
        <f>Sorghum!L5</f>
        <v>ABARES (2019b)</v>
      </c>
      <c r="L6" s="253" t="str">
        <f>Sorghum!M5</f>
        <v>Australian Bureau of Agricultural and Resource Economics and Sciences (2019). Australian Crop Report, September 2019. Last accessed September 2019.</v>
      </c>
    </row>
    <row r="7" spans="1:12" x14ac:dyDescent="0.25">
      <c r="A7" s="252" t="s">
        <v>70</v>
      </c>
      <c r="B7" s="77" t="s">
        <v>12</v>
      </c>
      <c r="C7" s="98">
        <f>+Pulses!D5</f>
        <v>348.9</v>
      </c>
      <c r="D7" s="98">
        <f>+Pulses!E5</f>
        <v>564.74799999999993</v>
      </c>
      <c r="E7" s="98">
        <f>+Pulses!F5</f>
        <v>887</v>
      </c>
      <c r="F7" s="98">
        <f>+Pulses!G5</f>
        <v>454.65999999999997</v>
      </c>
      <c r="G7" s="98">
        <f>+Pulses!H5</f>
        <v>69.575000000000003</v>
      </c>
      <c r="H7" s="99">
        <f t="shared" si="0"/>
        <v>-0.84697356266220913</v>
      </c>
      <c r="I7" s="147">
        <f t="shared" si="1"/>
        <v>464.97659999999996</v>
      </c>
      <c r="J7" s="99">
        <f t="shared" si="2"/>
        <v>-0.85036881425861</v>
      </c>
      <c r="K7" s="79" t="str">
        <f>Pulses!L5</f>
        <v>ABARES (2019b)</v>
      </c>
      <c r="L7" s="253" t="str">
        <f>Pulses!M5</f>
        <v>Australian Bureau of Agricultural and Resource Economics and Sciences (2019). Australian Crop Report, September 2019. Last accessed September 2019.</v>
      </c>
    </row>
    <row r="8" spans="1:12" x14ac:dyDescent="0.25">
      <c r="A8" s="252" t="s">
        <v>69</v>
      </c>
      <c r="B8" s="77" t="s">
        <v>12</v>
      </c>
      <c r="C8" s="98">
        <f>+Oilseeds!D5</f>
        <v>1528.7829999999999</v>
      </c>
      <c r="D8" s="98">
        <f>+Oilseeds!E5</f>
        <v>1534.692</v>
      </c>
      <c r="E8" s="98">
        <f>+Oilseeds!F5</f>
        <v>2093.7399999999998</v>
      </c>
      <c r="F8" s="98">
        <f>+Oilseeds!G5</f>
        <v>1997.617</v>
      </c>
      <c r="G8" s="98">
        <f>+Oilseeds!H5</f>
        <v>647.34100000000001</v>
      </c>
      <c r="H8" s="99">
        <f t="shared" si="0"/>
        <v>-0.67594338654506836</v>
      </c>
      <c r="I8" s="147">
        <f t="shared" si="1"/>
        <v>1560.4346</v>
      </c>
      <c r="J8" s="99">
        <f t="shared" si="2"/>
        <v>-0.58515339252282672</v>
      </c>
      <c r="K8" s="79" t="str">
        <f>Oilseeds!L5</f>
        <v>ABARES (2019b)</v>
      </c>
      <c r="L8" s="253" t="str">
        <f>Oilseeds!M5</f>
        <v>Australian Bureau of Agricultural and Resource Economics and Sciences (2019). Australian Crop Report, September 2019. Last accessed September 2019.</v>
      </c>
    </row>
    <row r="9" spans="1:12" x14ac:dyDescent="0.25">
      <c r="A9" s="252" t="s">
        <v>118</v>
      </c>
      <c r="B9" s="77" t="s">
        <v>35</v>
      </c>
      <c r="C9" s="98">
        <f>'Cotton Lint'!D5</f>
        <v>1471.2246696035243</v>
      </c>
      <c r="D9" s="98">
        <f>'Cotton Lint'!E5</f>
        <v>1740.1982378854625</v>
      </c>
      <c r="E9" s="98">
        <f>'Cotton Lint'!F5</f>
        <v>2534.8017621145373</v>
      </c>
      <c r="F9" s="98">
        <f>'Cotton Lint'!G5</f>
        <v>3249.603524229075</v>
      </c>
      <c r="G9" s="98">
        <f>'Cotton Lint'!H5</f>
        <v>1414.4493392070485</v>
      </c>
      <c r="H9" s="99">
        <f t="shared" si="0"/>
        <v>-0.56473171922023702</v>
      </c>
      <c r="I9" s="147">
        <f t="shared" si="1"/>
        <v>2082.0555066079296</v>
      </c>
      <c r="J9" s="99">
        <f t="shared" si="2"/>
        <v>-0.32064763176681121</v>
      </c>
      <c r="K9" s="79" t="str">
        <f>'Cotton Lint'!L5</f>
        <v>ABARES (2019b)</v>
      </c>
      <c r="L9" s="253" t="str">
        <f>'Cotton Lint'!M5</f>
        <v>Australian Bureau of Agricultural and Resource Economics and Sciences (2019). Australian Crop Report, September 2019. Last accessed September 2019.</v>
      </c>
    </row>
    <row r="10" spans="1:12" x14ac:dyDescent="0.25">
      <c r="A10" s="252" t="s">
        <v>71</v>
      </c>
      <c r="B10" s="77" t="s">
        <v>33</v>
      </c>
      <c r="C10" s="78">
        <f>'Sugar Cane'!D5</f>
        <v>1543.749</v>
      </c>
      <c r="D10" s="78">
        <f>'Sugar Cane'!E5</f>
        <v>2173.192</v>
      </c>
      <c r="E10" s="98">
        <f>'Sugar Cane'!F5</f>
        <v>2100.88</v>
      </c>
      <c r="F10" s="98">
        <f>'Sugar Cane'!G5</f>
        <v>1878</v>
      </c>
      <c r="G10" s="98">
        <f>'Sugar Cane'!H5</f>
        <v>2003.3889999999999</v>
      </c>
      <c r="H10" s="99">
        <f t="shared" si="0"/>
        <v>6.6767305644302333E-2</v>
      </c>
      <c r="I10" s="147">
        <f t="shared" si="1"/>
        <v>1939.8419999999999</v>
      </c>
      <c r="J10" s="99">
        <f t="shared" si="2"/>
        <v>3.2758853556114298E-2</v>
      </c>
      <c r="K10" s="79" t="str">
        <f>'Sugar Cane'!L5</f>
        <v>ASMC (2019)</v>
      </c>
      <c r="L10" s="253" t="str">
        <f>'Sugar Cane'!M5</f>
        <v>Australian Sugar Milling Council (2019). Sugar cane statistics. Last accessed July 2019.</v>
      </c>
    </row>
    <row r="11" spans="1:12" ht="17.25" x14ac:dyDescent="0.25">
      <c r="A11" s="252" t="s">
        <v>538</v>
      </c>
      <c r="B11" s="77" t="s">
        <v>12</v>
      </c>
      <c r="C11" s="119">
        <f>+'Other Crops'!D5</f>
        <v>663.23</v>
      </c>
      <c r="D11" s="119">
        <f>+'Other Crops'!E5</f>
        <v>612.33300000000008</v>
      </c>
      <c r="E11" s="119">
        <f>+'Other Crops'!F5</f>
        <v>780.94599999999991</v>
      </c>
      <c r="F11" s="119">
        <f>+'Other Crops'!G5</f>
        <v>468.26900000000001</v>
      </c>
      <c r="G11" s="119">
        <f>+'Other Crops'!H5</f>
        <v>340</v>
      </c>
      <c r="H11" s="120">
        <f t="shared" si="0"/>
        <v>-0.27392161343159593</v>
      </c>
      <c r="I11" s="143">
        <f t="shared" si="1"/>
        <v>572.9556</v>
      </c>
      <c r="J11" s="120">
        <f t="shared" si="2"/>
        <v>-0.40658578081792029</v>
      </c>
      <c r="K11" s="79" t="str">
        <f>'Other Crops'!L5</f>
        <v>ABARES (2019b)</v>
      </c>
      <c r="L11" s="253" t="str">
        <f>'Other Crops'!M5</f>
        <v>Australian Bureau of Agricultural and Resource Economics and Sciences (2019). Australian Crop Report, September 2019. Last accessed September 2019.</v>
      </c>
    </row>
    <row r="12" spans="1:12" x14ac:dyDescent="0.25">
      <c r="A12" s="250" t="s">
        <v>147</v>
      </c>
      <c r="B12" s="72"/>
      <c r="C12" s="80"/>
      <c r="D12" s="80"/>
      <c r="E12" s="80"/>
      <c r="F12" s="136"/>
      <c r="G12" s="94"/>
      <c r="H12" s="92"/>
      <c r="I12" s="148" t="str">
        <f t="shared" si="1"/>
        <v/>
      </c>
      <c r="J12" s="92"/>
      <c r="K12" s="79"/>
      <c r="L12" s="253"/>
    </row>
    <row r="13" spans="1:12" x14ac:dyDescent="0.25">
      <c r="A13" s="252" t="s">
        <v>167</v>
      </c>
      <c r="B13" s="77" t="s">
        <v>12</v>
      </c>
      <c r="C13" s="78">
        <f>Horticulture!D6</f>
        <v>174.17079964999999</v>
      </c>
      <c r="D13" s="78">
        <f>Horticulture!E6</f>
        <v>202.14520032999999</v>
      </c>
      <c r="E13" s="78">
        <f>Horticulture!F6</f>
        <v>191.11563828000001</v>
      </c>
      <c r="F13" s="119">
        <f>Horticulture!G6</f>
        <v>148.01364122999999</v>
      </c>
      <c r="G13" s="82" t="str">
        <f>Horticulture!H6</f>
        <v>N/A</v>
      </c>
      <c r="H13" s="93" t="str">
        <f t="shared" ref="H13:H18" si="3">IF(ISBLANK(G13),"N/A",IF(ISNA(G13/F13-1),"N/A",IF(ISERROR(G13/F13-1),"N/A",G13/F13-1)))</f>
        <v>N/A</v>
      </c>
      <c r="I13" s="149">
        <f t="shared" si="1"/>
        <v>178.86131987249999</v>
      </c>
      <c r="J13" s="93" t="str">
        <f t="shared" ref="J13:J18" si="4">IF(ISBLANK(G13),"",IF(ISNA(G13/AVERAGE(C13:G13)-1),"N/A",IF(ISERROR(G13/AVERAGE(C13:G13)-1),"N/A",G13/AVERAGE(C13:G13)-1)))</f>
        <v>N/A</v>
      </c>
      <c r="K13" s="79" t="str">
        <f>Horticulture!L6</f>
        <v>ABS (2019c)</v>
      </c>
      <c r="L13" s="253" t="str">
        <f>Horticulture!M6</f>
        <v>Australian Bureau of Statistics (2019). 7121.0 Agricultural Commodities Produced, Australia 2017-2018. Last accessed September 2019.</v>
      </c>
    </row>
    <row r="14" spans="1:12" x14ac:dyDescent="0.25">
      <c r="A14" s="252" t="s">
        <v>168</v>
      </c>
      <c r="B14" s="77" t="s">
        <v>12</v>
      </c>
      <c r="C14" s="78">
        <f>Horticulture!D7</f>
        <v>21.59771259</v>
      </c>
      <c r="D14" s="78">
        <f>Horticulture!E7</f>
        <v>19.861245459999996</v>
      </c>
      <c r="E14" s="78">
        <f>Horticulture!F7</f>
        <v>27.947807519999998</v>
      </c>
      <c r="F14" s="119">
        <f>Horticulture!G7</f>
        <v>21.909960010000002</v>
      </c>
      <c r="G14" s="82" t="str">
        <f>Horticulture!H7</f>
        <v>N/A</v>
      </c>
      <c r="H14" s="93" t="str">
        <f t="shared" si="3"/>
        <v>N/A</v>
      </c>
      <c r="I14" s="149">
        <f t="shared" si="1"/>
        <v>22.829181394999999</v>
      </c>
      <c r="J14" s="93" t="str">
        <f t="shared" si="4"/>
        <v>N/A</v>
      </c>
      <c r="K14" s="79" t="str">
        <f>Horticulture!L7</f>
        <v>ABS (2019c)</v>
      </c>
      <c r="L14" s="253" t="str">
        <f>Horticulture!M7</f>
        <v>Australian Bureau of Statistics (2019). 7121.0 Agricultural Commodities Produced, Australia 2017-2018. Last accessed September 2019.</v>
      </c>
    </row>
    <row r="15" spans="1:12" x14ac:dyDescent="0.25">
      <c r="A15" s="252" t="s">
        <v>169</v>
      </c>
      <c r="B15" s="77" t="s">
        <v>12</v>
      </c>
      <c r="C15" s="78">
        <f>Horticulture!D8</f>
        <v>75.837109999999996</v>
      </c>
      <c r="D15" s="78">
        <f>Horticulture!E8</f>
        <v>63.245460000000001</v>
      </c>
      <c r="E15" s="78">
        <f>Horticulture!F8</f>
        <v>91.895699999999991</v>
      </c>
      <c r="F15" s="119">
        <f>Horticulture!G8</f>
        <v>55.304160000000003</v>
      </c>
      <c r="G15" s="82" t="str">
        <f>Horticulture!H8</f>
        <v>N/A</v>
      </c>
      <c r="H15" s="93" t="str">
        <f t="shared" si="3"/>
        <v>N/A</v>
      </c>
      <c r="I15" s="149">
        <f t="shared" si="1"/>
        <v>71.570607500000008</v>
      </c>
      <c r="J15" s="93" t="str">
        <f t="shared" si="4"/>
        <v>N/A</v>
      </c>
      <c r="K15" s="79" t="str">
        <f>Horticulture!L8</f>
        <v>ABS (2019c)</v>
      </c>
      <c r="L15" s="253" t="str">
        <f>Horticulture!M8</f>
        <v>Australian Bureau of Statistics (2019). 7121.0 Agricultural Commodities Produced, Australia 2017-2018. Last accessed September 2019.</v>
      </c>
    </row>
    <row r="16" spans="1:12" x14ac:dyDescent="0.25">
      <c r="A16" s="252" t="s">
        <v>170</v>
      </c>
      <c r="B16" s="77" t="s">
        <v>12</v>
      </c>
      <c r="C16" s="78">
        <f>Horticulture!D9</f>
        <v>9.9707376199999995</v>
      </c>
      <c r="D16" s="78">
        <f>Horticulture!E9</f>
        <v>12.335123230000001</v>
      </c>
      <c r="E16" s="78">
        <f>Horticulture!F9</f>
        <v>14.69269749</v>
      </c>
      <c r="F16" s="119">
        <f>Horticulture!G9</f>
        <v>12.287193240000001</v>
      </c>
      <c r="G16" s="82" t="str">
        <f>Horticulture!H9</f>
        <v>N/A</v>
      </c>
      <c r="H16" s="93" t="str">
        <f t="shared" si="3"/>
        <v>N/A</v>
      </c>
      <c r="I16" s="149">
        <f t="shared" si="1"/>
        <v>12.321437895000001</v>
      </c>
      <c r="J16" s="93" t="str">
        <f t="shared" si="4"/>
        <v>N/A</v>
      </c>
      <c r="K16" s="79" t="str">
        <f>Horticulture!L9</f>
        <v>ABS (2019c)</v>
      </c>
      <c r="L16" s="253" t="str">
        <f>Horticulture!M9</f>
        <v>Australian Bureau of Statistics (2019). 7121.0 Agricultural Commodities Produced, Australia 2017-2018. Last accessed September 2019.</v>
      </c>
    </row>
    <row r="17" spans="1:12" x14ac:dyDescent="0.25">
      <c r="A17" s="252" t="s">
        <v>171</v>
      </c>
      <c r="B17" s="77" t="s">
        <v>12</v>
      </c>
      <c r="C17" s="78">
        <f>Horticulture!D10</f>
        <v>110.85496000000001</v>
      </c>
      <c r="D17" s="78">
        <f>Horticulture!E10</f>
        <v>137.24749</v>
      </c>
      <c r="E17" s="78">
        <f>Horticulture!F10</f>
        <v>107.69782000000001</v>
      </c>
      <c r="F17" s="119">
        <f>Horticulture!G10</f>
        <v>109.30112</v>
      </c>
      <c r="G17" s="82" t="str">
        <f>Horticulture!H10</f>
        <v>N/A</v>
      </c>
      <c r="H17" s="93" t="str">
        <f t="shared" si="3"/>
        <v>N/A</v>
      </c>
      <c r="I17" s="149">
        <f t="shared" si="1"/>
        <v>116.27534750000001</v>
      </c>
      <c r="J17" s="93" t="str">
        <f t="shared" si="4"/>
        <v>N/A</v>
      </c>
      <c r="K17" s="79" t="str">
        <f>Horticulture!L10</f>
        <v>ABS (2019c)</v>
      </c>
      <c r="L17" s="253" t="str">
        <f>Horticulture!M10</f>
        <v>Australian Bureau of Statistics (2019). 7121.0 Agricultural Commodities Produced, Australia 2017-2018. Last accessed September 2019.</v>
      </c>
    </row>
    <row r="18" spans="1:12" ht="17.25" x14ac:dyDescent="0.25">
      <c r="A18" s="252" t="s">
        <v>558</v>
      </c>
      <c r="B18" s="77" t="s">
        <v>12</v>
      </c>
      <c r="C18" s="78">
        <f>Wine!D5</f>
        <v>332.09199999999998</v>
      </c>
      <c r="D18" s="78">
        <f>Wine!E5</f>
        <v>348.44099999999997</v>
      </c>
      <c r="E18" s="78">
        <f>Wine!F5</f>
        <v>349.34699999999998</v>
      </c>
      <c r="F18" s="137">
        <f>Wine!G5</f>
        <v>317.75400000000002</v>
      </c>
      <c r="G18" s="137">
        <f>Wine!H5</f>
        <v>320.94099999999997</v>
      </c>
      <c r="H18" s="120">
        <f t="shared" si="3"/>
        <v>1.0029771458423653E-2</v>
      </c>
      <c r="I18" s="143">
        <f t="shared" si="1"/>
        <v>333.71500000000003</v>
      </c>
      <c r="J18" s="120">
        <f t="shared" si="4"/>
        <v>-3.827817149363999E-2</v>
      </c>
      <c r="K18" s="79" t="str">
        <f>Wine!L5</f>
        <v>WA (2019)w</v>
      </c>
      <c r="L18" s="253" t="str">
        <f>Wine!M5</f>
        <v>Wine Australia (2019). National Vintage Report 2019. Last accessed September 2019. &lt;https://www.wineaustralia.com/market-insights/national-vintage-report&gt;</v>
      </c>
    </row>
    <row r="19" spans="1:12" x14ac:dyDescent="0.25">
      <c r="A19" s="254" t="s">
        <v>148</v>
      </c>
      <c r="B19" s="72"/>
      <c r="C19" s="80"/>
      <c r="D19" s="80"/>
      <c r="E19" s="80"/>
      <c r="F19" s="136"/>
      <c r="G19" s="94"/>
      <c r="H19" s="92"/>
      <c r="I19" s="148" t="str">
        <f t="shared" si="1"/>
        <v/>
      </c>
      <c r="J19" s="92"/>
      <c r="K19" s="79"/>
      <c r="L19" s="253"/>
    </row>
    <row r="20" spans="1:12" x14ac:dyDescent="0.25">
      <c r="A20" s="252" t="s">
        <v>122</v>
      </c>
      <c r="B20" s="77" t="s">
        <v>12</v>
      </c>
      <c r="C20" s="119">
        <f>+Beef!D6</f>
        <v>595.65499999999997</v>
      </c>
      <c r="D20" s="119">
        <f>+Beef!E6</f>
        <v>521.42399999999998</v>
      </c>
      <c r="E20" s="119">
        <f>+Beef!F6</f>
        <v>450.38299999999998</v>
      </c>
      <c r="F20" s="119">
        <f>+Beef!G6</f>
        <v>500.9359</v>
      </c>
      <c r="G20" s="119">
        <f>+Beef!H6</f>
        <v>535.53969999999993</v>
      </c>
      <c r="H20" s="120">
        <f t="shared" ref="H20:H27" si="5">IF(ISBLANK(G20),"N/A",IF(ISNA(G20/F20-1),"N/A",IF(ISERROR(G20/F20-1),"N/A",G20/F20-1)))</f>
        <v>6.9078299239483387E-2</v>
      </c>
      <c r="I20" s="143">
        <f t="shared" si="1"/>
        <v>520.78751999999997</v>
      </c>
      <c r="J20" s="120">
        <f t="shared" ref="J20:J27" si="6">IF(ISBLANK(G20),"",IF(ISNA(G20/AVERAGE(C20:G20)-1),"N/A",IF(ISERROR(G20/AVERAGE(C20:G20)-1),"N/A",G20/AVERAGE(C20:G20)-1)))</f>
        <v>2.8326677259854272E-2</v>
      </c>
      <c r="K20" s="79" t="str">
        <f>Beef!L6</f>
        <v>MLA (2019a)</v>
      </c>
      <c r="L20" s="253" t="str">
        <f>Beef!M6</f>
        <v>Meat and Livestock Australia (2019). Market Information and Statistics Database Custom Report. Last accessed September 2019.</v>
      </c>
    </row>
    <row r="21" spans="1:12" x14ac:dyDescent="0.25">
      <c r="A21" s="252" t="s">
        <v>124</v>
      </c>
      <c r="B21" s="77" t="s">
        <v>12</v>
      </c>
      <c r="C21" s="78">
        <f>SUM('Sheep Meat'!D5:D6)</f>
        <v>175.72</v>
      </c>
      <c r="D21" s="78">
        <f>SUM('Sheep Meat'!E5:E6)</f>
        <v>164.72800000000001</v>
      </c>
      <c r="E21" s="78">
        <f>SUM('Sheep Meat'!F5:F6)</f>
        <v>164.81399999999999</v>
      </c>
      <c r="F21" s="119">
        <f>SUM('Sheep Meat'!G5:G6)</f>
        <v>192.9409</v>
      </c>
      <c r="G21" s="119">
        <f>SUM('Sheep Meat'!H5:H6)</f>
        <v>187.5352</v>
      </c>
      <c r="H21" s="120">
        <f t="shared" si="5"/>
        <v>-2.8017387707842123E-2</v>
      </c>
      <c r="I21" s="143">
        <f t="shared" si="1"/>
        <v>177.14762000000002</v>
      </c>
      <c r="J21" s="120">
        <f t="shared" si="6"/>
        <v>5.8637987910873379E-2</v>
      </c>
      <c r="K21" s="79" t="str">
        <f>'Sheep Meat'!L5</f>
        <v>MLA (2019a)</v>
      </c>
      <c r="L21" s="253" t="str">
        <f>'Sheep Meat'!M5</f>
        <v>Meat and Livestock Australia (2019). Market Information and Statistics Database Custom Report. Last accessed September 2019.</v>
      </c>
    </row>
    <row r="22" spans="1:12" ht="17.25" x14ac:dyDescent="0.25">
      <c r="A22" s="252" t="s">
        <v>556</v>
      </c>
      <c r="B22" s="77" t="s">
        <v>12</v>
      </c>
      <c r="C22" s="78">
        <f>'Goat Meat'!D3</f>
        <v>1569</v>
      </c>
      <c r="D22" s="78">
        <f>'Goat Meat'!E3</f>
        <v>1456</v>
      </c>
      <c r="E22" s="78">
        <f>'Goat Meat'!F3</f>
        <v>1385</v>
      </c>
      <c r="F22" s="119">
        <f>'Goat Meat'!G3</f>
        <v>1438.0000000000002</v>
      </c>
      <c r="G22" s="119">
        <f>'Goat Meat'!H3</f>
        <v>884</v>
      </c>
      <c r="H22" s="120">
        <f>'Goat Meat'!I3</f>
        <v>-0.38525730180806683</v>
      </c>
      <c r="I22" s="143">
        <f>'Goat Meat'!J3</f>
        <v>1346.4</v>
      </c>
      <c r="J22" s="120">
        <f>'Goat Meat'!K3</f>
        <v>-0.34343434343434343</v>
      </c>
      <c r="K22" s="79" t="str">
        <f>'Goat Meat'!L3</f>
        <v>MLA (2019a)</v>
      </c>
      <c r="L22" s="253" t="str">
        <f>'Goat Meat'!M3</f>
        <v>Meat and Livestock Australia (2019). Market Information and Statistics Database Custom Report. Last accessed September 2019.</v>
      </c>
    </row>
    <row r="23" spans="1:12" x14ac:dyDescent="0.25">
      <c r="A23" s="252" t="s">
        <v>125</v>
      </c>
      <c r="B23" s="77" t="str">
        <f>Pork!C4</f>
        <v>000 tonnes</v>
      </c>
      <c r="C23" s="119">
        <f>Pork!D4</f>
        <v>61.484000000000002</v>
      </c>
      <c r="D23" s="119">
        <f>Pork!E4</f>
        <v>57.802999999999997</v>
      </c>
      <c r="E23" s="119">
        <f>Pork!F4</f>
        <v>65.305000000000007</v>
      </c>
      <c r="F23" s="119">
        <f>Pork!G4</f>
        <v>66.924999999999997</v>
      </c>
      <c r="G23" s="119">
        <f>Pork!H4</f>
        <v>63.621000000000002</v>
      </c>
      <c r="H23" s="120">
        <f t="shared" si="5"/>
        <v>-4.9368696301830384E-2</v>
      </c>
      <c r="I23" s="143">
        <f t="shared" si="1"/>
        <v>63.027599999999993</v>
      </c>
      <c r="J23" s="120">
        <f t="shared" si="6"/>
        <v>9.4149229861204553E-3</v>
      </c>
      <c r="K23" s="79" t="str">
        <f>Pork!L4</f>
        <v>ABS (2019d)</v>
      </c>
      <c r="L23" s="253" t="str">
        <f>Pork!M4</f>
        <v>Australian Bureau of Statistics (2019). 7218.0.55.001 Livestock and Meat Australia, Jun 2019. Last accessed September 2019.</v>
      </c>
    </row>
    <row r="24" spans="1:12" x14ac:dyDescent="0.25">
      <c r="A24" s="252" t="s">
        <v>74</v>
      </c>
      <c r="B24" s="77" t="str">
        <f>Poultry!C4</f>
        <v>000 tonnes</v>
      </c>
      <c r="C24" s="78">
        <f>+Poultry!D4</f>
        <v>357.86599999999999</v>
      </c>
      <c r="D24" s="78">
        <f>+Poultry!E4</f>
        <v>378.87799999999999</v>
      </c>
      <c r="E24" s="78">
        <f>+Poultry!F4</f>
        <v>397.721</v>
      </c>
      <c r="F24" s="78">
        <f>+Poultry!G4</f>
        <v>416.98200000000003</v>
      </c>
      <c r="G24" s="78">
        <f>+Poultry!H4</f>
        <v>462.01299999999998</v>
      </c>
      <c r="H24" s="120">
        <f t="shared" si="5"/>
        <v>0.10799267114647626</v>
      </c>
      <c r="I24" s="143">
        <f t="shared" si="1"/>
        <v>402.69199999999995</v>
      </c>
      <c r="J24" s="120">
        <f t="shared" si="6"/>
        <v>0.14731109632175476</v>
      </c>
      <c r="K24" s="79" t="str">
        <f>Poultry!L4</f>
        <v>ABS (2018e)</v>
      </c>
      <c r="L24" s="253" t="str">
        <f>Poultry!M4</f>
        <v>Australian Bureau of Statistics (2018), Livestock Products, Australia, Jun 2018, last accessed August 2018
&lt;http://www.abs.gov.au/ausstats/abs@.nsf/PrimaryMainFeatures/7215.0?OpenDocument&gt;</v>
      </c>
    </row>
    <row r="25" spans="1:12" x14ac:dyDescent="0.25">
      <c r="A25" s="252" t="s">
        <v>76</v>
      </c>
      <c r="B25" s="77" t="str">
        <f>Wool!C5</f>
        <v>000 tonnes</v>
      </c>
      <c r="C25" s="119">
        <f>+Wool!D5</f>
        <v>121.443</v>
      </c>
      <c r="D25" s="119">
        <f>+Wool!E5</f>
        <v>110.792</v>
      </c>
      <c r="E25" s="119">
        <f>+Wool!F5</f>
        <v>118.956</v>
      </c>
      <c r="F25" s="119">
        <f>+Wool!G5</f>
        <v>117.504</v>
      </c>
      <c r="G25" s="119">
        <f>+Wool!H5</f>
        <v>98.481999999999999</v>
      </c>
      <c r="H25" s="120">
        <f t="shared" si="5"/>
        <v>-0.16188385076252731</v>
      </c>
      <c r="I25" s="143">
        <f t="shared" si="1"/>
        <v>113.4354</v>
      </c>
      <c r="J25" s="120">
        <f t="shared" si="6"/>
        <v>-0.13182304642113485</v>
      </c>
      <c r="K25" s="79" t="str">
        <f>Wool!L5</f>
        <v>ABS (2019f)</v>
      </c>
      <c r="L25" s="253" t="str">
        <f>Wool!M5</f>
        <v>Australian Bureau of Statistics (2019). 7215.0 Livestock Products, Australia, Jun 2019. Last accessed September 2019.
&lt;http://www.abs.gov.au/ausstats/abs@.nsf/PrimaryMainFeatures/7215.0?OpenDocument&gt;</v>
      </c>
    </row>
    <row r="26" spans="1:12" x14ac:dyDescent="0.25">
      <c r="A26" s="252" t="s">
        <v>78</v>
      </c>
      <c r="B26" s="77" t="str">
        <f>Eggs!C4</f>
        <v>million dozen</v>
      </c>
      <c r="C26" s="78">
        <f>Eggs!D4</f>
        <v>95.770958870000001</v>
      </c>
      <c r="D26" s="78">
        <f>Eggs!E4</f>
        <v>103.67895552</v>
      </c>
      <c r="E26" s="78">
        <f>Eggs!F4</f>
        <v>103.80514806999999</v>
      </c>
      <c r="F26" s="119">
        <f>Eggs!G4</f>
        <v>117.55601026000001</v>
      </c>
      <c r="G26" s="82" t="str">
        <f>Eggs!H4</f>
        <v>N/A</v>
      </c>
      <c r="H26" s="93" t="str">
        <f t="shared" si="5"/>
        <v>N/A</v>
      </c>
      <c r="I26" s="149">
        <f t="shared" si="1"/>
        <v>105.20276817999999</v>
      </c>
      <c r="J26" s="93" t="str">
        <f t="shared" si="6"/>
        <v>N/A</v>
      </c>
      <c r="K26" s="79" t="str">
        <f>Eggs!L4</f>
        <v>ABS (2019c)</v>
      </c>
      <c r="L26" s="253" t="str">
        <f>Eggs!M4</f>
        <v>Australian Bureau of Statistics (2019). 7121.0 Agricultural Commodities Produced, Australia 2017-2018. Last accessed September 2019.</v>
      </c>
    </row>
    <row r="27" spans="1:12" ht="17.25" x14ac:dyDescent="0.25">
      <c r="A27" s="252" t="s">
        <v>557</v>
      </c>
      <c r="B27" s="77" t="str">
        <f>Milk!C6</f>
        <v>million litres</v>
      </c>
      <c r="C27" s="78">
        <f>Milk!D6</f>
        <v>1159.8</v>
      </c>
      <c r="D27" s="78">
        <f>Milk!E6</f>
        <v>1178.058</v>
      </c>
      <c r="E27" s="78">
        <f>Milk!F6</f>
        <v>1120.982</v>
      </c>
      <c r="F27" s="119">
        <f>Milk!G6</f>
        <v>1143.600228625</v>
      </c>
      <c r="G27" s="119">
        <f>Milk!H6</f>
        <v>1082.0647213918153</v>
      </c>
      <c r="H27" s="120">
        <f t="shared" si="5"/>
        <v>-5.3808582486181811E-2</v>
      </c>
      <c r="I27" s="143">
        <f t="shared" si="1"/>
        <v>1136.9009900033632</v>
      </c>
      <c r="J27" s="120">
        <f t="shared" si="6"/>
        <v>-4.8233108330203556E-2</v>
      </c>
      <c r="K27" s="79" t="str">
        <f>Milk!L6</f>
        <v>DA (2019a) + ABARES (2018)</v>
      </c>
      <c r="L27" s="264" t="str">
        <f>Milk!M6</f>
        <v>Dairy Australia (2018), NSW Milk Production Report June 2019, last accessed September 2018; Australian Bureau of Agricultural and Resource Economic Sciences (2018), Agricultural Commodity Statistics, Dec 2018, last accessed August 2019</v>
      </c>
    </row>
    <row r="28" spans="1:12" x14ac:dyDescent="0.25">
      <c r="A28" s="250" t="s">
        <v>149</v>
      </c>
      <c r="B28" s="72"/>
      <c r="C28" s="80"/>
      <c r="D28" s="80"/>
      <c r="E28" s="80"/>
      <c r="F28" s="136"/>
      <c r="G28" s="94"/>
      <c r="H28" s="92"/>
      <c r="I28" s="148" t="str">
        <f t="shared" si="1"/>
        <v/>
      </c>
      <c r="J28" s="92"/>
      <c r="K28" s="162"/>
      <c r="L28" s="253"/>
    </row>
    <row r="29" spans="1:12" x14ac:dyDescent="0.25">
      <c r="A29" s="252" t="s">
        <v>128</v>
      </c>
      <c r="B29" s="77" t="str">
        <f>Forestry!C7</f>
        <v>000 m3</v>
      </c>
      <c r="C29" s="78">
        <f>Forestry!D7</f>
        <v>4505.1747779999996</v>
      </c>
      <c r="D29" s="78">
        <f>Forestry!E7</f>
        <v>4650.8656440000004</v>
      </c>
      <c r="E29" s="78">
        <f>Forestry!F7</f>
        <v>4957.2398940000003</v>
      </c>
      <c r="F29" s="119">
        <f>Forestry!G7</f>
        <v>4992.9249980000004</v>
      </c>
      <c r="G29" s="82" t="str">
        <f>Forestry!H7</f>
        <v>N/A</v>
      </c>
      <c r="H29" s="93" t="str">
        <f>IF(ISBLANK(G29),"N/A",IF(ISNA(G29/F29-1),"N/A",IF(ISERROR(G29/F29-1),"N/A",G29/F29-1)))</f>
        <v>N/A</v>
      </c>
      <c r="I29" s="149">
        <f t="shared" si="1"/>
        <v>4776.5513284999997</v>
      </c>
      <c r="J29" s="93" t="str">
        <f>IF(ISBLANK(G29),"",IF(ISNA(G29/AVERAGE(C29:G29)-1),"N/A",IF(ISERROR(G29/AVERAGE(C29:G29)-1),"N/A",G29/AVERAGE(C29:G29)-1)))</f>
        <v>N/A</v>
      </c>
      <c r="K29" s="79" t="str">
        <f>Forestry!L7</f>
        <v>ABARES (2019c)</v>
      </c>
      <c r="L29" s="255" t="str">
        <f>Forestry!M7</f>
        <v>Australian Bureau of Agricultural and Resource Economics and Sciences (2019). Australian Forest and Wood Product Statistics September – December 2018. Last accessed July 2019.</v>
      </c>
    </row>
    <row r="30" spans="1:12" x14ac:dyDescent="0.25">
      <c r="A30" s="252" t="s">
        <v>127</v>
      </c>
      <c r="B30" s="77" t="str">
        <f>Forestry!C8</f>
        <v>000 m3</v>
      </c>
      <c r="C30" s="78">
        <f>Forestry!D8</f>
        <v>995.95482729719106</v>
      </c>
      <c r="D30" s="78">
        <f>Forestry!E8</f>
        <v>939.28181688300799</v>
      </c>
      <c r="E30" s="78">
        <f>Forestry!F8</f>
        <v>1022.7533807000011</v>
      </c>
      <c r="F30" s="119">
        <f>Forestry!G8</f>
        <v>1231.295153</v>
      </c>
      <c r="G30" s="82" t="str">
        <f>Forestry!H8</f>
        <v>N/A</v>
      </c>
      <c r="H30" s="93" t="str">
        <f>IF(ISBLANK(G30),"N/A",IF(ISNA(G30/F30-1),"N/A",IF(ISERROR(G30/F30-1),"N/A",G30/F30-1)))</f>
        <v>N/A</v>
      </c>
      <c r="I30" s="149">
        <f t="shared" si="1"/>
        <v>1047.3212944700501</v>
      </c>
      <c r="J30" s="93" t="str">
        <f>IF(ISBLANK(G30),"",IF(ISNA(G30/AVERAGE(C30:G30)-1),"N/A",IF(ISERROR(G30/AVERAGE(C30:G30)-1),"N/A",G30/AVERAGE(C30:G30)-1)))</f>
        <v>N/A</v>
      </c>
      <c r="K30" s="79" t="str">
        <f>Forestry!L8</f>
        <v>ABARES (2019c)</v>
      </c>
      <c r="L30" s="255" t="str">
        <f>Forestry!M8</f>
        <v>Australian Bureau of Agricultural and Resource Economics and Sciences (2019). Australian Forest and Wood Product Statistics September – December 2018. Last accessed July 2019.</v>
      </c>
    </row>
    <row r="31" spans="1:12" ht="17.25" x14ac:dyDescent="0.25">
      <c r="A31" s="252" t="s">
        <v>559</v>
      </c>
      <c r="B31" s="77" t="str">
        <f>Fisheries!C5</f>
        <v>million dozens</v>
      </c>
      <c r="C31" s="78">
        <f>Fisheries!D5</f>
        <v>5.0420150000000001</v>
      </c>
      <c r="D31" s="78">
        <f>Fisheries!E5</f>
        <v>5.5258989999999999</v>
      </c>
      <c r="E31" s="78">
        <f>Fisheries!F5</f>
        <v>5.7422129999999996</v>
      </c>
      <c r="F31" s="119">
        <f>Fisheries!G5</f>
        <v>6.1573089999999997</v>
      </c>
      <c r="G31" s="82" t="str">
        <f>Fisheries!H5</f>
        <v>N/A</v>
      </c>
      <c r="H31" s="93" t="str">
        <f>IF(ISBLANK(G31),"N/A",IF(ISNA(G31/F31-1),"N/A",IF(ISERROR(G31/F31-1),"N/A",G31/F31-1)))</f>
        <v>N/A</v>
      </c>
      <c r="I31" s="149">
        <f t="shared" si="1"/>
        <v>5.6168589999999998</v>
      </c>
      <c r="J31" s="93" t="str">
        <f>IF(ISBLANK(G31),"",IF(ISNA(G31/AVERAGE(C31:G31)-1),"N/A",IF(ISERROR(G31/AVERAGE(C31:G31)-1),"N/A",G31/AVERAGE(C31:G31)-1)))</f>
        <v>N/A</v>
      </c>
      <c r="K31" s="163" t="str">
        <f>Fisheries!L5</f>
        <v>DPI (2019d)</v>
      </c>
      <c r="L31" s="253" t="str">
        <f>Fisheries!M5</f>
        <v>NSW Department of Primary Industries (2019). Aquaculture Production Report 2017-18. Last accessed September 2019. &lt;https://www.dpi.nsw.gov.au/fishing/aquaculture/publications/aquaculture-production-reports&gt;</v>
      </c>
    </row>
    <row r="32" spans="1:12" x14ac:dyDescent="0.25">
      <c r="A32" s="265" t="s">
        <v>130</v>
      </c>
      <c r="B32" s="266" t="str">
        <f>Fisheries!C6</f>
        <v>000 tonnes</v>
      </c>
      <c r="C32" s="267">
        <f>Fisheries!D6</f>
        <v>13.625999999999999</v>
      </c>
      <c r="D32" s="267">
        <f>Fisheries!E6</f>
        <v>12.048999999999999</v>
      </c>
      <c r="E32" s="267">
        <f>Fisheries!F6</f>
        <v>11.741</v>
      </c>
      <c r="F32" s="268">
        <f>Fisheries!G6</f>
        <v>10.5745</v>
      </c>
      <c r="G32" s="269" t="str">
        <f>Fisheries!H6</f>
        <v>N/A</v>
      </c>
      <c r="H32" s="270" t="str">
        <f>IF(ISBLANK(G32),"N/A",IF(ISNA(G32/F32-1),"N/A",IF(ISERROR(G32/F32-1),"N/A",G32/F32-1)))</f>
        <v>N/A</v>
      </c>
      <c r="I32" s="271">
        <f t="shared" si="1"/>
        <v>11.997624999999999</v>
      </c>
      <c r="J32" s="270" t="str">
        <f>IF(ISBLANK(G32),"",IF(ISNA(G32/AVERAGE(C32:G32)-1),"N/A",IF(ISERROR(G32/AVERAGE(C32:G32)-1),"N/A",G32/AVERAGE(C32:G32)-1)))</f>
        <v>N/A</v>
      </c>
      <c r="K32" s="272" t="str">
        <f>Fisheries!L6</f>
        <v>DPI (2019c)</v>
      </c>
      <c r="L32" s="273" t="str">
        <f>Fisheries!M6</f>
        <v>NSW Department of Primary Industries (2019). Unpublished Internal Wild Caught Landings Estimates 2017-18. Provided May 2019.</v>
      </c>
    </row>
    <row r="33" spans="1:12" x14ac:dyDescent="0.25">
      <c r="A33" s="53" t="s">
        <v>80</v>
      </c>
    </row>
    <row r="34" spans="1:12" ht="17.25" x14ac:dyDescent="0.25">
      <c r="A34" s="2" t="s">
        <v>524</v>
      </c>
      <c r="B34"/>
      <c r="C34"/>
      <c r="D34"/>
      <c r="E34"/>
      <c r="F34" s="96"/>
      <c r="G34" s="96"/>
      <c r="H34" s="96"/>
      <c r="I34" s="96"/>
      <c r="J34" s="96"/>
    </row>
    <row r="35" spans="1:12" ht="17.25" x14ac:dyDescent="0.25">
      <c r="A35" s="2" t="s">
        <v>520</v>
      </c>
      <c r="B35"/>
      <c r="C35"/>
      <c r="D35"/>
      <c r="E35"/>
      <c r="F35" s="96"/>
      <c r="G35" s="96"/>
      <c r="H35" s="96"/>
      <c r="I35" s="96"/>
      <c r="J35" s="96"/>
    </row>
    <row r="36" spans="1:12" ht="17.25" x14ac:dyDescent="0.25">
      <c r="A36" s="2" t="s">
        <v>526</v>
      </c>
    </row>
    <row r="37" spans="1:12" ht="17.25" x14ac:dyDescent="0.25">
      <c r="A37" s="81" t="s">
        <v>529</v>
      </c>
    </row>
    <row r="38" spans="1:12" ht="17.25" x14ac:dyDescent="0.25">
      <c r="A38" s="213" t="s">
        <v>530</v>
      </c>
    </row>
    <row r="39" spans="1:12" ht="17.25" x14ac:dyDescent="0.25">
      <c r="A39" s="81" t="s">
        <v>531</v>
      </c>
    </row>
    <row r="40" spans="1:12" x14ac:dyDescent="0.25">
      <c r="A40" s="12"/>
    </row>
    <row r="41" spans="1:12" ht="30" x14ac:dyDescent="0.25">
      <c r="A41" s="244" t="s">
        <v>186</v>
      </c>
      <c r="B41" s="245" t="s">
        <v>1</v>
      </c>
      <c r="C41" s="245" t="s">
        <v>2</v>
      </c>
      <c r="D41" s="245" t="s">
        <v>3</v>
      </c>
      <c r="E41" s="245" t="s">
        <v>4</v>
      </c>
      <c r="F41" s="274" t="s">
        <v>419</v>
      </c>
      <c r="G41" s="274" t="s">
        <v>539</v>
      </c>
      <c r="H41" s="247" t="s">
        <v>136</v>
      </c>
      <c r="I41" s="247"/>
      <c r="J41" s="247" t="s">
        <v>422</v>
      </c>
      <c r="K41" s="248" t="s">
        <v>15</v>
      </c>
      <c r="L41" s="249" t="s">
        <v>16</v>
      </c>
    </row>
    <row r="42" spans="1:12" x14ac:dyDescent="0.25">
      <c r="A42" s="250" t="s">
        <v>146</v>
      </c>
      <c r="B42" s="72"/>
      <c r="C42" s="73"/>
      <c r="D42" s="73"/>
      <c r="E42" s="73"/>
      <c r="F42" s="91"/>
      <c r="G42" s="91"/>
      <c r="H42" s="92"/>
      <c r="I42" s="92"/>
      <c r="J42" s="92"/>
      <c r="K42" s="76"/>
      <c r="L42" s="251"/>
    </row>
    <row r="43" spans="1:12" x14ac:dyDescent="0.25">
      <c r="A43" s="252" t="s">
        <v>65</v>
      </c>
      <c r="B43" s="77" t="s">
        <v>22</v>
      </c>
      <c r="C43" s="78">
        <f>Wheat!D3</f>
        <v>3166.0390000000002</v>
      </c>
      <c r="D43" s="78">
        <f>Wheat!E3</f>
        <v>2932.741</v>
      </c>
      <c r="E43" s="116">
        <f>Wheat!F3</f>
        <v>3248.4169999999999</v>
      </c>
      <c r="F43" s="119">
        <f>Wheat!G3</f>
        <v>2793.4560000000001</v>
      </c>
      <c r="G43" s="119">
        <f>Wheat!H3</f>
        <v>1800</v>
      </c>
      <c r="H43" s="120">
        <f>Wheat!I3</f>
        <v>-0.35563688849940722</v>
      </c>
      <c r="I43" s="120"/>
      <c r="J43" s="120">
        <f>Wheat!K3</f>
        <v>-0.35440613865075044</v>
      </c>
      <c r="K43" s="79" t="str">
        <f>Wheat!L3</f>
        <v>ABARES (2019b)</v>
      </c>
      <c r="L43" s="263" t="str">
        <f>Wheat!M3</f>
        <v>Australian Bureau of Agricultural and Resource Economics and Sciences (2019). Australian Crop Report, September 2019. Last accessed September 2019.</v>
      </c>
    </row>
    <row r="44" spans="1:12" x14ac:dyDescent="0.25">
      <c r="A44" s="252" t="s">
        <v>66</v>
      </c>
      <c r="B44" s="77" t="s">
        <v>22</v>
      </c>
      <c r="C44" s="78">
        <f>Barley!D3</f>
        <v>882.34699999999998</v>
      </c>
      <c r="D44" s="78">
        <f>Barley!E3</f>
        <v>966.18</v>
      </c>
      <c r="E44" s="116">
        <f>Barley!F3</f>
        <v>1056.3789999999999</v>
      </c>
      <c r="F44" s="119">
        <f>Barley!G3</f>
        <v>763.47</v>
      </c>
      <c r="G44" s="119">
        <f>Barley!H3</f>
        <v>600</v>
      </c>
      <c r="H44" s="120">
        <f>Barley!I3</f>
        <v>-0.21411450351683758</v>
      </c>
      <c r="I44" s="120"/>
      <c r="J44" s="120">
        <f>Barley!K3</f>
        <v>-0.29715657664648099</v>
      </c>
      <c r="K44" s="79" t="str">
        <f>Barley!L3</f>
        <v>ABARES (2019b)</v>
      </c>
      <c r="L44" s="253" t="str">
        <f>Barley!M3</f>
        <v>Australian Bureau of Agricultural and Resource Economics and Sciences (2019). Australian Crop Report, September 2019. Last accessed September 2019.</v>
      </c>
    </row>
    <row r="45" spans="1:12" x14ac:dyDescent="0.25">
      <c r="A45" s="252" t="s">
        <v>67</v>
      </c>
      <c r="B45" s="77" t="s">
        <v>22</v>
      </c>
      <c r="C45" s="78">
        <f>Rice!D3</f>
        <v>69.305999999999997</v>
      </c>
      <c r="D45" s="78">
        <f>Rice!E3</f>
        <v>24.721</v>
      </c>
      <c r="E45" s="116">
        <f>Rice!F3</f>
        <v>82.015000000000001</v>
      </c>
      <c r="F45" s="119">
        <f>Rice!G3</f>
        <v>60.055</v>
      </c>
      <c r="G45" s="119">
        <f>Rice!H3</f>
        <v>4</v>
      </c>
      <c r="H45" s="120">
        <f>Rice!I3</f>
        <v>-0.93339438847722922</v>
      </c>
      <c r="I45" s="120"/>
      <c r="J45" s="120">
        <f>Rice!K3</f>
        <v>-0.9167003336151639</v>
      </c>
      <c r="K45" s="79" t="str">
        <f>Rice!L3</f>
        <v>ABARES (2019b)</v>
      </c>
      <c r="L45" s="253" t="str">
        <f>Rice!M3</f>
        <v>Australian Bureau of Agricultural and Resource Economics and Sciences (2019). Australian Crop Report, September 2019. Last accessed September 2019.</v>
      </c>
    </row>
    <row r="46" spans="1:12" x14ac:dyDescent="0.25">
      <c r="A46" s="252" t="s">
        <v>68</v>
      </c>
      <c r="B46" s="77" t="s">
        <v>22</v>
      </c>
      <c r="C46" s="78">
        <f>Sorghum!D3</f>
        <v>184.11799999999999</v>
      </c>
      <c r="D46" s="78">
        <f>Sorghum!E3</f>
        <v>154.75899999999999</v>
      </c>
      <c r="E46" s="116">
        <f>Sorghum!F3</f>
        <v>117.124</v>
      </c>
      <c r="F46" s="119">
        <f>Sorghum!G3</f>
        <v>108.34</v>
      </c>
      <c r="G46" s="119">
        <f>Sorghum!H3</f>
        <v>110</v>
      </c>
      <c r="H46" s="120">
        <f>Sorghum!I3</f>
        <v>1.5322134022521583E-2</v>
      </c>
      <c r="I46" s="120"/>
      <c r="J46" s="120">
        <f>Sorghum!K3</f>
        <v>-0.18438890709596478</v>
      </c>
      <c r="K46" s="79" t="str">
        <f>Sorghum!L3</f>
        <v>ABARES (2019b)</v>
      </c>
      <c r="L46" s="253" t="str">
        <f>Sorghum!M3</f>
        <v>Australian Bureau of Agricultural and Resource Economics and Sciences (2019). Australian Crop Report, September 2019. Last accessed September 2019.</v>
      </c>
    </row>
    <row r="47" spans="1:12" x14ac:dyDescent="0.25">
      <c r="A47" s="252" t="s">
        <v>70</v>
      </c>
      <c r="B47" s="77" t="s">
        <v>22</v>
      </c>
      <c r="C47" s="78">
        <f>Pulses!D3</f>
        <v>349.5</v>
      </c>
      <c r="D47" s="78">
        <f>Pulses!E3</f>
        <v>604.577</v>
      </c>
      <c r="E47" s="116">
        <f>Pulses!F3</f>
        <v>616</v>
      </c>
      <c r="F47" s="119">
        <f>Pulses!G3</f>
        <v>682.40000000000009</v>
      </c>
      <c r="G47" s="119">
        <f>Pulses!H3</f>
        <v>154.30000000000001</v>
      </c>
      <c r="H47" s="120">
        <f>Pulses!I3</f>
        <v>-0.77388628370457213</v>
      </c>
      <c r="I47" s="120"/>
      <c r="J47" s="120">
        <f>Pulses!K3</f>
        <v>-0.67944682868416972</v>
      </c>
      <c r="K47" s="79" t="str">
        <f>Pulses!L3</f>
        <v>ABARES (2019b)</v>
      </c>
      <c r="L47" s="253" t="str">
        <f>Pulses!M3</f>
        <v>Australian Bureau of Agricultural and Resource Economics and Sciences (2019). Australian Crop Report, September 2019. Last accessed September 2019.</v>
      </c>
    </row>
    <row r="48" spans="1:12" x14ac:dyDescent="0.25">
      <c r="A48" s="252" t="s">
        <v>69</v>
      </c>
      <c r="B48" s="77" t="s">
        <v>22</v>
      </c>
      <c r="C48" s="78">
        <f>Oilseeds!D3</f>
        <v>847.11299999999994</v>
      </c>
      <c r="D48" s="78">
        <f>Oilseeds!E3</f>
        <v>754.8420000000001</v>
      </c>
      <c r="E48" s="116">
        <f>Oilseeds!F3</f>
        <v>1174.6210000000001</v>
      </c>
      <c r="F48" s="119">
        <f>Oilseeds!G3</f>
        <v>1244.5119999999999</v>
      </c>
      <c r="G48" s="119">
        <f>Oilseeds!H3</f>
        <v>443.1</v>
      </c>
      <c r="H48" s="120">
        <f>Oilseeds!I3</f>
        <v>-0.64395682805790533</v>
      </c>
      <c r="I48" s="120"/>
      <c r="J48" s="120">
        <f>Oilseeds!K3</f>
        <v>-0.50371713736070256</v>
      </c>
      <c r="K48" s="79" t="str">
        <f>Oilseeds!L3</f>
        <v>ABARES (2019b)</v>
      </c>
      <c r="L48" s="253" t="str">
        <f>Oilseeds!M3</f>
        <v>Australian Bureau of Agricultural and Resource Economics and Sciences (2019). Australian Crop Report, September 2019. Last accessed September 2019.</v>
      </c>
    </row>
    <row r="49" spans="1:12" x14ac:dyDescent="0.25">
      <c r="A49" s="252" t="s">
        <v>118</v>
      </c>
      <c r="B49" s="77" t="s">
        <v>22</v>
      </c>
      <c r="C49" s="78">
        <f>'Cotton Lint'!D3</f>
        <v>124</v>
      </c>
      <c r="D49" s="78">
        <f>'Cotton Lint'!E3</f>
        <v>163</v>
      </c>
      <c r="E49" s="116">
        <f>'Cotton Lint'!F3</f>
        <v>370</v>
      </c>
      <c r="F49" s="119">
        <f>'Cotton Lint'!G3</f>
        <v>350.5</v>
      </c>
      <c r="G49" s="119">
        <f>'Cotton Lint'!H3</f>
        <v>226.8</v>
      </c>
      <c r="H49" s="120">
        <f>'Cotton Lint'!I3</f>
        <v>-0.35292439372325246</v>
      </c>
      <c r="I49" s="120"/>
      <c r="J49" s="120">
        <f>'Cotton Lint'!K3</f>
        <v>-8.1260633557481921E-2</v>
      </c>
      <c r="K49" s="79" t="str">
        <f>'Cotton Lint'!L3</f>
        <v>ABARES (2019b)</v>
      </c>
      <c r="L49" s="253" t="str">
        <f>'Cotton Lint'!M3</f>
        <v>Australian Bureau of Agricultural and Resource Economics and Sciences (2019). Australian Crop Report, September 2019. Last accessed September 2019.</v>
      </c>
    </row>
    <row r="50" spans="1:12" x14ac:dyDescent="0.25">
      <c r="A50" s="252" t="s">
        <v>71</v>
      </c>
      <c r="B50" s="77" t="s">
        <v>22</v>
      </c>
      <c r="C50" s="78">
        <f>'Sugar Cane'!D3</f>
        <v>14.461</v>
      </c>
      <c r="D50" s="78">
        <f>'Sugar Cane'!E3</f>
        <v>15.936999999999999</v>
      </c>
      <c r="E50" s="116">
        <f>'Sugar Cane'!F3</f>
        <v>16.062999999999999</v>
      </c>
      <c r="F50" s="119">
        <f>'Sugar Cane'!G3</f>
        <v>15.558</v>
      </c>
      <c r="G50" s="119">
        <f>'Sugar Cane'!H3</f>
        <v>16.207999999999998</v>
      </c>
      <c r="H50" s="120">
        <f>'Sugar Cane'!I3</f>
        <v>4.1779148990872761E-2</v>
      </c>
      <c r="I50" s="120"/>
      <c r="J50" s="120">
        <f>'Sugar Cane'!K3</f>
        <v>3.5959451340329851E-2</v>
      </c>
      <c r="K50" s="79" t="str">
        <f>'Sugar Cane'!L3</f>
        <v>ASMC (2019)</v>
      </c>
      <c r="L50" s="253" t="str">
        <f>'Sugar Cane'!M3</f>
        <v>Australian Sugar Milling Council (2019). Sugar cane statistics. Last accessed July 2019.</v>
      </c>
    </row>
    <row r="51" spans="1:12" ht="17.25" x14ac:dyDescent="0.25">
      <c r="A51" s="252" t="s">
        <v>538</v>
      </c>
      <c r="B51" s="77" t="s">
        <v>22</v>
      </c>
      <c r="C51" s="78">
        <f>'Other Crops'!D3</f>
        <v>414.97300000000001</v>
      </c>
      <c r="D51" s="78">
        <f>'Other Crops'!E3</f>
        <v>319.892</v>
      </c>
      <c r="E51" s="116">
        <f>'Other Crops'!F3</f>
        <v>377.45100000000002</v>
      </c>
      <c r="F51" s="119">
        <f>'Other Crops'!G3</f>
        <v>408.97500000000002</v>
      </c>
      <c r="G51" s="119">
        <f>'Other Crops'!H3</f>
        <v>243</v>
      </c>
      <c r="H51" s="120">
        <f>'Other Crops'!I3</f>
        <v>-0.40583165230148543</v>
      </c>
      <c r="I51" s="120"/>
      <c r="J51" s="120">
        <f>'Other Crops'!K3</f>
        <v>-0.31133809558627235</v>
      </c>
      <c r="K51" s="79" t="str">
        <f>'Other Crops'!L3</f>
        <v>ABARES (2019b)</v>
      </c>
      <c r="L51" s="253" t="str">
        <f>'Other Crops'!M3</f>
        <v>Australian Bureau of Agricultural and Resource Economics and Sciences (2019). Australian Crop Report, September 2019. Last accessed September 2019.</v>
      </c>
    </row>
    <row r="52" spans="1:12" x14ac:dyDescent="0.25">
      <c r="A52" s="250" t="s">
        <v>126</v>
      </c>
      <c r="B52" s="72"/>
      <c r="C52" s="80"/>
      <c r="D52" s="80"/>
      <c r="E52" s="80"/>
      <c r="F52" s="94"/>
      <c r="G52" s="94"/>
      <c r="H52" s="92"/>
      <c r="I52" s="92"/>
      <c r="J52" s="92"/>
      <c r="K52" s="79"/>
      <c r="L52" s="253"/>
    </row>
    <row r="53" spans="1:12" x14ac:dyDescent="0.25">
      <c r="A53" s="252" t="s">
        <v>128</v>
      </c>
      <c r="B53" s="77" t="s">
        <v>22</v>
      </c>
      <c r="C53" s="78">
        <f>Forestry!D5</f>
        <v>305.7</v>
      </c>
      <c r="D53" s="78">
        <f>Forestry!E5</f>
        <v>307.10000000000002</v>
      </c>
      <c r="E53" s="78">
        <f>Forestry!F5</f>
        <v>307.10000000000002</v>
      </c>
      <c r="F53" s="119">
        <f>Forestry!G5</f>
        <v>306</v>
      </c>
      <c r="G53" s="82" t="str">
        <f>Forestry!H5</f>
        <v>N/A</v>
      </c>
      <c r="H53" s="93" t="str">
        <f>Forestry!I5</f>
        <v>N/A</v>
      </c>
      <c r="I53" s="93"/>
      <c r="J53" s="93" t="str">
        <f>Forestry!K5</f>
        <v>N/A</v>
      </c>
      <c r="K53" s="79" t="str">
        <f>Forestry!L5</f>
        <v>ABARES (2019c)</v>
      </c>
      <c r="L53" s="253" t="str">
        <f>Forestry!M5</f>
        <v>Australian Bureau of Agricultural and Resource Economics and Sciences (2019). Australian Forest and Wood Product Statistics September – December 2018. Last accessed July 2019.</v>
      </c>
    </row>
    <row r="54" spans="1:12" x14ac:dyDescent="0.25">
      <c r="A54" s="265" t="s">
        <v>127</v>
      </c>
      <c r="B54" s="266" t="s">
        <v>22</v>
      </c>
      <c r="C54" s="267">
        <f>Forestry!D6</f>
        <v>87.1</v>
      </c>
      <c r="D54" s="267">
        <f>Forestry!E6</f>
        <v>87.1</v>
      </c>
      <c r="E54" s="267">
        <f>Forestry!F6</f>
        <v>87.1</v>
      </c>
      <c r="F54" s="268">
        <f>Forestry!G6</f>
        <v>87.1</v>
      </c>
      <c r="G54" s="269" t="str">
        <f>Forestry!H6</f>
        <v>N/A</v>
      </c>
      <c r="H54" s="270" t="str">
        <f>Forestry!I6</f>
        <v>N/A</v>
      </c>
      <c r="I54" s="270"/>
      <c r="J54" s="270" t="str">
        <f>Forestry!K6</f>
        <v>N/A</v>
      </c>
      <c r="K54" s="272" t="str">
        <f>Forestry!L6</f>
        <v>ABARES (2019c)</v>
      </c>
      <c r="L54" s="273" t="str">
        <f>Forestry!M6</f>
        <v>Australian Bureau of Agricultural and Resource Economics and Sciences (2019). Australian Forest and Wood Product Statistics September – December 2018. Last accessed July 2019.</v>
      </c>
    </row>
    <row r="55" spans="1:12" x14ac:dyDescent="0.25">
      <c r="A55" s="53" t="s">
        <v>80</v>
      </c>
    </row>
    <row r="56" spans="1:12" ht="17.25" x14ac:dyDescent="0.25">
      <c r="A56" s="2" t="s">
        <v>524</v>
      </c>
    </row>
    <row r="57" spans="1:12" ht="17.25" x14ac:dyDescent="0.25">
      <c r="A57" s="81" t="s">
        <v>529</v>
      </c>
    </row>
    <row r="60" spans="1:12" ht="30" x14ac:dyDescent="0.25">
      <c r="A60" s="244" t="s">
        <v>187</v>
      </c>
      <c r="B60" s="245" t="s">
        <v>1</v>
      </c>
      <c r="C60" s="245" t="s">
        <v>3</v>
      </c>
      <c r="D60" s="245" t="s">
        <v>4</v>
      </c>
      <c r="E60" s="274" t="s">
        <v>419</v>
      </c>
      <c r="F60" s="274" t="s">
        <v>465</v>
      </c>
      <c r="G60" s="274" t="s">
        <v>540</v>
      </c>
      <c r="H60" s="247" t="s">
        <v>136</v>
      </c>
      <c r="I60" s="247"/>
      <c r="J60" s="247" t="s">
        <v>422</v>
      </c>
      <c r="K60" s="248" t="s">
        <v>15</v>
      </c>
      <c r="L60" s="249" t="s">
        <v>16</v>
      </c>
    </row>
    <row r="61" spans="1:12" x14ac:dyDescent="0.25">
      <c r="A61" s="254" t="s">
        <v>148</v>
      </c>
      <c r="B61" s="72"/>
      <c r="C61" s="80"/>
      <c r="D61" s="80"/>
      <c r="E61" s="80"/>
      <c r="F61" s="94"/>
      <c r="G61" s="94"/>
      <c r="H61" s="92"/>
      <c r="I61" s="92"/>
      <c r="J61" s="92"/>
      <c r="K61" s="79"/>
      <c r="L61" s="253"/>
    </row>
    <row r="62" spans="1:12" x14ac:dyDescent="0.25">
      <c r="A62" s="252" t="s">
        <v>122</v>
      </c>
      <c r="B62" s="77" t="s">
        <v>40</v>
      </c>
      <c r="C62" s="300">
        <f>Beef!D4</f>
        <v>4959.1402500000004</v>
      </c>
      <c r="D62" s="300">
        <f>Beef!E4</f>
        <v>4997.7004100000004</v>
      </c>
      <c r="E62" s="300">
        <f>Beef!F4</f>
        <v>5287.1658899999993</v>
      </c>
      <c r="F62" s="300">
        <f>Beef!G4</f>
        <v>4727.0546199999999</v>
      </c>
      <c r="G62" s="82" t="str">
        <f>Beef!H4</f>
        <v>N/A</v>
      </c>
      <c r="H62" s="93" t="str">
        <f>Beef!I4</f>
        <v>N/A</v>
      </c>
      <c r="I62" s="93"/>
      <c r="J62" s="93" t="str">
        <f>Beef!K4</f>
        <v>N/A</v>
      </c>
      <c r="K62" s="79" t="str">
        <f>Beef!L4</f>
        <v>MLA (2019a)</v>
      </c>
      <c r="L62" s="253" t="str">
        <f>Beef!M4</f>
        <v>Meat and Livestock Australia (2019). Market Information and Statistics Database Custom Report. Last accessed September 2019.</v>
      </c>
    </row>
    <row r="63" spans="1:12" x14ac:dyDescent="0.25">
      <c r="A63" s="252" t="s">
        <v>182</v>
      </c>
      <c r="B63" s="77" t="s">
        <v>101</v>
      </c>
      <c r="C63" s="300">
        <f>'Sheep Meat'!D3</f>
        <v>25.708222980000002</v>
      </c>
      <c r="D63" s="300">
        <f>'Sheep Meat'!E3</f>
        <v>25.968193850000002</v>
      </c>
      <c r="E63" s="300">
        <f>'Sheep Meat'!F3</f>
        <v>26.928532090000001</v>
      </c>
      <c r="F63" s="300">
        <f>'Sheep Meat'!G3</f>
        <v>25.222087399999999</v>
      </c>
      <c r="G63" s="82" t="str">
        <f>'Sheep Meat'!H3</f>
        <v>N/A</v>
      </c>
      <c r="H63" s="93" t="str">
        <f>'Sheep Meat'!I3</f>
        <v>N/A</v>
      </c>
      <c r="I63" s="93"/>
      <c r="J63" s="93" t="str">
        <f>'Sheep Meat'!K3</f>
        <v>N/A</v>
      </c>
      <c r="K63" s="79" t="str">
        <f>'Sheep Meat'!L3</f>
        <v>ABS (2019c)</v>
      </c>
      <c r="L63" s="253" t="str">
        <f>'Sheep Meat'!M3</f>
        <v>Australian Bureau of Statistics (2019). 7121.0 Agricultural Commodities Produced, Australia 2017-2018. Last accessed September 2019.</v>
      </c>
    </row>
    <row r="64" spans="1:12" x14ac:dyDescent="0.25">
      <c r="A64" s="252" t="s">
        <v>183</v>
      </c>
      <c r="B64" s="77" t="s">
        <v>101</v>
      </c>
      <c r="C64" s="300">
        <f>'Sheep Meat'!D4</f>
        <v>4.6313141</v>
      </c>
      <c r="D64" s="300">
        <f>'Sheep Meat'!E4</f>
        <v>4.7303168700000002</v>
      </c>
      <c r="E64" s="300">
        <f>'Sheep Meat'!F4</f>
        <v>5.4128361799999993</v>
      </c>
      <c r="F64" s="300">
        <f>'Sheep Meat'!G4</f>
        <v>5.0678564599999998</v>
      </c>
      <c r="G64" s="82" t="str">
        <f>'Sheep Meat'!H4</f>
        <v>N/A</v>
      </c>
      <c r="H64" s="93" t="str">
        <f>'Sheep Meat'!I4</f>
        <v>N/A</v>
      </c>
      <c r="I64" s="93"/>
      <c r="J64" s="93" t="str">
        <f>'Sheep Meat'!K4</f>
        <v>N/A</v>
      </c>
      <c r="K64" s="79" t="str">
        <f>'Sheep Meat'!L4</f>
        <v>ABS (2019c)</v>
      </c>
      <c r="L64" s="253" t="str">
        <f>'Sheep Meat'!M4</f>
        <v>Australian Bureau of Statistics (2019). 7121.0 Agricultural Commodities Produced, Australia 2017-2018. Last accessed September 2019.</v>
      </c>
    </row>
    <row r="65" spans="1:12" x14ac:dyDescent="0.25">
      <c r="A65" s="252" t="s">
        <v>184</v>
      </c>
      <c r="B65" s="77" t="s">
        <v>101</v>
      </c>
      <c r="C65" s="300">
        <f>Wool!D4</f>
        <v>10.12281121</v>
      </c>
      <c r="D65" s="300">
        <f>Wool!E4</f>
        <v>9.8735312400000002</v>
      </c>
      <c r="E65" s="300">
        <f>Wool!F4</f>
        <v>10.01958374</v>
      </c>
      <c r="F65" s="300">
        <f>Wool!G4</f>
        <v>9.8724136500000004</v>
      </c>
      <c r="G65" s="82" t="str">
        <f>Wool!H4</f>
        <v>N/A</v>
      </c>
      <c r="H65" s="93" t="str">
        <f>Wool!I4</f>
        <v>N/A</v>
      </c>
      <c r="I65" s="93"/>
      <c r="J65" s="93" t="str">
        <f>Wool!K4</f>
        <v>N/A</v>
      </c>
      <c r="K65" s="79" t="str">
        <f>Wool!L4</f>
        <v>ABS (2019c)</v>
      </c>
      <c r="L65" s="253" t="str">
        <f>Wool!M4</f>
        <v>Australian Bureau of Statistics (2019). 7121.0 Agricultural Commodities Produced, Australia 2017-2018. Last accessed September 2019.</v>
      </c>
    </row>
    <row r="66" spans="1:12" x14ac:dyDescent="0.25">
      <c r="A66" s="252" t="s">
        <v>75</v>
      </c>
      <c r="B66" s="77" t="s">
        <v>40</v>
      </c>
      <c r="C66" s="300">
        <f>Pork!D3</f>
        <v>404.51855</v>
      </c>
      <c r="D66" s="300">
        <f>Pork!E3</f>
        <v>488.25164000000001</v>
      </c>
      <c r="E66" s="300">
        <f>Pork!F3</f>
        <v>512.38887999999997</v>
      </c>
      <c r="F66" s="300">
        <f>Pork!G3</f>
        <v>462.55353000000002</v>
      </c>
      <c r="G66" s="82" t="str">
        <f>Pork!H3</f>
        <v>N/A</v>
      </c>
      <c r="H66" s="93" t="str">
        <f>Pork!I3</f>
        <v>N/A</v>
      </c>
      <c r="I66" s="93"/>
      <c r="J66" s="93" t="str">
        <f>Pork!K3</f>
        <v>N/A</v>
      </c>
      <c r="K66" s="79" t="str">
        <f>Pork!L3</f>
        <v>ABS (2019c)</v>
      </c>
      <c r="L66" s="253" t="str">
        <f>Pork!M3</f>
        <v>Australian Bureau of Statistics (2019). 7121.0 Agricultural Commodities Produced, Australia 2017-2018. Last accessed September 2019.</v>
      </c>
    </row>
    <row r="67" spans="1:12" x14ac:dyDescent="0.25">
      <c r="A67" s="252" t="s">
        <v>189</v>
      </c>
      <c r="B67" s="77" t="s">
        <v>101</v>
      </c>
      <c r="C67" s="300">
        <f>Poultry!D3</f>
        <v>30.65852357</v>
      </c>
      <c r="D67" s="300">
        <f>Poultry!E3</f>
        <v>30.10790287</v>
      </c>
      <c r="E67" s="300">
        <f>Poultry!F3</f>
        <v>32.877467660000001</v>
      </c>
      <c r="F67" s="300">
        <f>Poultry!G3</f>
        <v>39.370670390000001</v>
      </c>
      <c r="G67" s="82" t="str">
        <f>Poultry!H3</f>
        <v>N/A</v>
      </c>
      <c r="H67" s="93" t="str">
        <f>Poultry!I3</f>
        <v>N/A</v>
      </c>
      <c r="I67" s="93"/>
      <c r="J67" s="93" t="str">
        <f>Poultry!K3</f>
        <v>N/A</v>
      </c>
      <c r="K67" s="79" t="str">
        <f>Poultry!L3</f>
        <v>ABS (2019c)</v>
      </c>
      <c r="L67" s="253" t="str">
        <f>Poultry!M3</f>
        <v>Australian Bureau of Statistics (2019). 7121.0 Agricultural Commodities Produced, Australia 2017-2018. Last accessed September 2019.</v>
      </c>
    </row>
    <row r="68" spans="1:12" x14ac:dyDescent="0.25">
      <c r="A68" s="252" t="s">
        <v>188</v>
      </c>
      <c r="B68" s="77" t="s">
        <v>101</v>
      </c>
      <c r="C68" s="300">
        <f>Eggs!D3</f>
        <v>4.8506459900000003</v>
      </c>
      <c r="D68" s="300">
        <f>Eggs!E3</f>
        <v>4.90573441</v>
      </c>
      <c r="E68" s="300">
        <f>Eggs!F3</f>
        <v>4.9843944900000006</v>
      </c>
      <c r="F68" s="300">
        <f>Eggs!G3</f>
        <v>6.6055079000000001</v>
      </c>
      <c r="G68" s="82" t="str">
        <f>Eggs!H3</f>
        <v>N/A</v>
      </c>
      <c r="H68" s="93" t="str">
        <f>Eggs!I3</f>
        <v>N/A</v>
      </c>
      <c r="I68" s="93"/>
      <c r="J68" s="93" t="str">
        <f>Eggs!K3</f>
        <v>N/A</v>
      </c>
      <c r="K68" s="79" t="str">
        <f>Eggs!L3</f>
        <v>ABS (2019c)</v>
      </c>
      <c r="L68" s="253" t="str">
        <f>Eggs!M3</f>
        <v>Australian Bureau of Statistics (2019). 7121.0 Agricultural Commodities Produced, Australia 2017-2018. Last accessed September 2019.</v>
      </c>
    </row>
    <row r="69" spans="1:12" x14ac:dyDescent="0.25">
      <c r="A69" s="252" t="s">
        <v>195</v>
      </c>
      <c r="B69" s="77" t="s">
        <v>40</v>
      </c>
      <c r="C69" s="300">
        <f>Milk!D3</f>
        <v>304.21717000000001</v>
      </c>
      <c r="D69" s="300">
        <f>Milk!E3</f>
        <v>323.14759000000004</v>
      </c>
      <c r="E69" s="300">
        <f>Milk!F3</f>
        <v>294.89204999999998</v>
      </c>
      <c r="F69" s="300">
        <f>Milk!G3</f>
        <v>301.50328999999999</v>
      </c>
      <c r="G69" s="82" t="str">
        <f>Milk!H3</f>
        <v>N/A</v>
      </c>
      <c r="H69" s="93" t="str">
        <f>Milk!I3</f>
        <v>N/A</v>
      </c>
      <c r="I69" s="93"/>
      <c r="J69" s="93" t="str">
        <f>Milk!K3</f>
        <v>N/A</v>
      </c>
      <c r="K69" s="79" t="str">
        <f>Milk!L3</f>
        <v>ABS (2019c)</v>
      </c>
      <c r="L69" s="253" t="str">
        <f>Milk!M3</f>
        <v>Australian Bureau of Statistics (2019). 7121.0 Agricultural Commodities Produced, Australia 2017-2018. Last accessed September 2019.</v>
      </c>
    </row>
    <row r="70" spans="1:12" x14ac:dyDescent="0.25">
      <c r="A70" s="265" t="s">
        <v>178</v>
      </c>
      <c r="B70" s="266" t="s">
        <v>40</v>
      </c>
      <c r="C70" s="301">
        <f>Milk!D4</f>
        <v>174.73782999999997</v>
      </c>
      <c r="D70" s="301">
        <f>Milk!E4</f>
        <v>181.88028</v>
      </c>
      <c r="E70" s="301">
        <f>Milk!F4</f>
        <v>164.11415</v>
      </c>
      <c r="F70" s="301">
        <f>Milk!G4</f>
        <v>166.3784</v>
      </c>
      <c r="G70" s="269" t="str">
        <f>Milk!H4</f>
        <v>N/A</v>
      </c>
      <c r="H70" s="270" t="str">
        <f>Milk!I4</f>
        <v>N/A</v>
      </c>
      <c r="I70" s="270"/>
      <c r="J70" s="270" t="str">
        <f>Milk!K4</f>
        <v>N/A</v>
      </c>
      <c r="K70" s="272" t="str">
        <f>Milk!L4</f>
        <v>ABS (2019c)</v>
      </c>
      <c r="L70" s="273" t="str">
        <f>Milk!M4</f>
        <v>Australian Bureau of Statistics (2019). 7121.0 Agricultural Commodities Produced, Australia 2017-2018. Last accessed September 2019.</v>
      </c>
    </row>
    <row r="71" spans="1:12" x14ac:dyDescent="0.25">
      <c r="A71" s="53" t="s">
        <v>80</v>
      </c>
    </row>
    <row r="72" spans="1:12" ht="17.25" x14ac:dyDescent="0.25">
      <c r="A72" s="81" t="s">
        <v>529</v>
      </c>
    </row>
  </sheetData>
  <conditionalFormatting sqref="A42:L42 H43:L54 A61:L70 A2:L32">
    <cfRule type="expression" dxfId="67" priority="17">
      <formula>MOD(ROW(),2)=0</formula>
    </cfRule>
  </conditionalFormatting>
  <conditionalFormatting sqref="B13:B17">
    <cfRule type="expression" dxfId="66" priority="13">
      <formula>MOD(ROW(),2)=0</formula>
    </cfRule>
  </conditionalFormatting>
  <conditionalFormatting sqref="A43:F51">
    <cfRule type="expression" dxfId="65" priority="12">
      <formula>MOD(ROW(),2)=0</formula>
    </cfRule>
  </conditionalFormatting>
  <conditionalFormatting sqref="A43:F51">
    <cfRule type="expression" dxfId="64" priority="11">
      <formula>MOD(ROW(),2)=0</formula>
    </cfRule>
  </conditionalFormatting>
  <conditionalFormatting sqref="A53:A54 C53:F54">
    <cfRule type="expression" dxfId="63" priority="10">
      <formula>MOD(ROW(),2)=0</formula>
    </cfRule>
  </conditionalFormatting>
  <conditionalFormatting sqref="A52:F52">
    <cfRule type="expression" dxfId="62" priority="9">
      <formula>MOD(ROW(),2)=0</formula>
    </cfRule>
  </conditionalFormatting>
  <conditionalFormatting sqref="B53:B54">
    <cfRule type="expression" dxfId="61" priority="8">
      <formula>MOD(ROW(),2)=0</formula>
    </cfRule>
  </conditionalFormatting>
  <conditionalFormatting sqref="B53:B54">
    <cfRule type="expression" dxfId="60" priority="7">
      <formula>MOD(ROW(),2)=0</formula>
    </cfRule>
  </conditionalFormatting>
  <conditionalFormatting sqref="G43:G51">
    <cfRule type="expression" dxfId="59" priority="4">
      <formula>MOD(ROW(),2)=0</formula>
    </cfRule>
  </conditionalFormatting>
  <conditionalFormatting sqref="G43:G51">
    <cfRule type="expression" dxfId="58" priority="3">
      <formula>MOD(ROW(),2)=0</formula>
    </cfRule>
  </conditionalFormatting>
  <conditionalFormatting sqref="G53:G54">
    <cfRule type="expression" dxfId="57" priority="2">
      <formula>MOD(ROW(),2)=0</formula>
    </cfRule>
  </conditionalFormatting>
  <conditionalFormatting sqref="G52">
    <cfRule type="expression" dxfId="56" priority="1">
      <formula>MOD(ROW(),2)=0</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92D050"/>
  </sheetPr>
  <dimension ref="A1:L33"/>
  <sheetViews>
    <sheetView workbookViewId="0"/>
  </sheetViews>
  <sheetFormatPr defaultRowHeight="15" x14ac:dyDescent="0.25"/>
  <cols>
    <col min="1" max="1" width="42.5703125" style="8" customWidth="1"/>
    <col min="2" max="2" width="12.140625" style="8" customWidth="1"/>
    <col min="3" max="6" width="9.5703125" style="8" bestFit="1" customWidth="1"/>
    <col min="7" max="7" width="9.5703125" style="8" customWidth="1"/>
    <col min="8" max="10" width="14.5703125" style="8" customWidth="1"/>
    <col min="11" max="11" width="36.5703125" bestFit="1" customWidth="1"/>
    <col min="12" max="12" width="187.7109375" bestFit="1" customWidth="1"/>
  </cols>
  <sheetData>
    <row r="1" spans="1:12" ht="30" x14ac:dyDescent="0.25">
      <c r="A1" s="244" t="s">
        <v>291</v>
      </c>
      <c r="B1" s="245" t="s">
        <v>1</v>
      </c>
      <c r="C1" s="245" t="str">
        <f>'Output Table'!C1</f>
        <v>2014-15</v>
      </c>
      <c r="D1" s="245" t="str">
        <f>'Output Table'!D1</f>
        <v>2015-16</v>
      </c>
      <c r="E1" s="245" t="str">
        <f>'Output Table'!E1</f>
        <v>2016-17</v>
      </c>
      <c r="F1" s="245" t="str">
        <f>'Output Table'!F1</f>
        <v>2017-18</v>
      </c>
      <c r="G1" s="245" t="str">
        <f>'Output Table'!G1</f>
        <v>2018-19e</v>
      </c>
      <c r="H1" s="246" t="s">
        <v>136</v>
      </c>
      <c r="I1" s="247" t="s">
        <v>428</v>
      </c>
      <c r="J1" s="246" t="s">
        <v>422</v>
      </c>
      <c r="K1" s="248" t="s">
        <v>15</v>
      </c>
      <c r="L1" s="249" t="s">
        <v>16</v>
      </c>
    </row>
    <row r="2" spans="1:12" x14ac:dyDescent="0.25">
      <c r="A2" s="250" t="s">
        <v>290</v>
      </c>
      <c r="B2" s="72"/>
      <c r="C2" s="73"/>
      <c r="D2" s="73"/>
      <c r="E2" s="73"/>
      <c r="F2" s="74"/>
      <c r="G2" s="74"/>
      <c r="H2" s="75"/>
      <c r="I2" s="75"/>
      <c r="J2" s="75"/>
      <c r="K2" s="76"/>
      <c r="L2" s="251"/>
    </row>
    <row r="3" spans="1:12" x14ac:dyDescent="0.25">
      <c r="A3" s="252" t="s">
        <v>65</v>
      </c>
      <c r="B3" s="77" t="s">
        <v>13</v>
      </c>
      <c r="C3" s="78">
        <f>Wheat!D6</f>
        <v>300.05599999999998</v>
      </c>
      <c r="D3" s="78">
        <f>Wheat!E6</f>
        <v>277.00400000000002</v>
      </c>
      <c r="E3" s="116">
        <f>Wheat!F6</f>
        <v>231.49299999999999</v>
      </c>
      <c r="F3" s="116">
        <f>Wheat!G6</f>
        <v>271.95299999999997</v>
      </c>
      <c r="G3" s="116">
        <f>Wheat!H6</f>
        <v>381.5141406792452</v>
      </c>
      <c r="H3" s="117">
        <f t="shared" ref="H3:H10" si="0">IF(ISBLANK(G3),"N/A",IF(ISNA(G3/F3-1),"N/A",IF(ISERROR(G3/F3-1),"N/A",G3/F3-1)))</f>
        <v>0.40286792452830178</v>
      </c>
      <c r="I3" s="144">
        <f>IF(ISBLANK(G3),"",IF(ISNA(AVERAGE(C3:G3)),"N/A",IF(ISERROR(AVERAGE(C3:G3)-1),"N/A",AVERAGE(C3:G3))))</f>
        <v>292.40402813584899</v>
      </c>
      <c r="J3" s="117">
        <f t="shared" ref="J3:J10" si="1">IF(ISBLANK(G3),"",IF(ISNA(G3/AVERAGE(C3:G3)-1),"N/A",IF(ISERROR(G3/AVERAGE(C3:G3)-1),"N/A",G3/AVERAGE(C3:G3)-1)))</f>
        <v>0.30474994859508642</v>
      </c>
      <c r="K3" s="116" t="str">
        <f>Wheat!L6</f>
        <v>ABARES (2019a)</v>
      </c>
      <c r="L3" s="275" t="str">
        <f>Wheat!M6</f>
        <v xml:space="preserve">Australian Bureau of Agricultural and Resource Economics and Sciences (2019). Agricultural Commodities, September 2019. Last accessed September 2019. </v>
      </c>
    </row>
    <row r="4" spans="1:12" x14ac:dyDescent="0.25">
      <c r="A4" s="252" t="s">
        <v>66</v>
      </c>
      <c r="B4" s="77" t="s">
        <v>13</v>
      </c>
      <c r="C4" s="78">
        <f>Barley!D6</f>
        <v>279.50700000000001</v>
      </c>
      <c r="D4" s="78">
        <f>Barley!E6</f>
        <v>253.16900000000001</v>
      </c>
      <c r="E4" s="116">
        <f>Barley!F6</f>
        <v>196.78800000000001</v>
      </c>
      <c r="F4" s="116">
        <f>Barley!G6</f>
        <v>246.46299999999999</v>
      </c>
      <c r="G4" s="116">
        <f>Barley!H6</f>
        <v>369.43099999999998</v>
      </c>
      <c r="H4" s="117">
        <f t="shared" si="0"/>
        <v>0.49893087400542879</v>
      </c>
      <c r="I4" s="144">
        <f t="shared" ref="I4:I30" si="2">IF(ISBLANK(G4),"",IF(ISNA(AVERAGE(C4:G4)),"N/A",IF(ISERROR(AVERAGE(C4:G4)-1),"N/A",AVERAGE(C4:G4))))</f>
        <v>269.07159999999999</v>
      </c>
      <c r="J4" s="117">
        <f t="shared" si="1"/>
        <v>0.37298399385145076</v>
      </c>
      <c r="K4" s="116" t="str">
        <f>Barley!L6</f>
        <v>ABARES (2019a)</v>
      </c>
      <c r="L4" s="275" t="str">
        <f>Barley!M6</f>
        <v xml:space="preserve">Australian Bureau of Agricultural and Resource Economics and Sciences (2019). Agricultural Commodities, September 2019. Last accessed September 2019. </v>
      </c>
    </row>
    <row r="5" spans="1:12" x14ac:dyDescent="0.25">
      <c r="A5" s="252" t="s">
        <v>67</v>
      </c>
      <c r="B5" s="77" t="s">
        <v>13</v>
      </c>
      <c r="C5" s="78">
        <f>Rice!D6</f>
        <v>419.298</v>
      </c>
      <c r="D5" s="78">
        <f>Rice!E6</f>
        <v>312.69</v>
      </c>
      <c r="E5" s="116">
        <f>Rice!F6</f>
        <v>386.93</v>
      </c>
      <c r="F5" s="116">
        <f>Rice!G6</f>
        <v>452.34500000000003</v>
      </c>
      <c r="G5" s="116">
        <f>Rice!H6</f>
        <v>488.37200000000001</v>
      </c>
      <c r="H5" s="117">
        <f t="shared" si="0"/>
        <v>7.9644961257447244E-2</v>
      </c>
      <c r="I5" s="144">
        <f t="shared" si="2"/>
        <v>411.92700000000002</v>
      </c>
      <c r="J5" s="117">
        <f t="shared" si="1"/>
        <v>0.18557899822055846</v>
      </c>
      <c r="K5" s="116" t="str">
        <f>Rice!L6</f>
        <v>ABARES (2019a)</v>
      </c>
      <c r="L5" s="275" t="str">
        <f>Rice!M6</f>
        <v xml:space="preserve">Australian Bureau of Agricultural and Resource Economics and Sciences (2019). Agricultural Commodities, September 2019. Last accessed September 2019. </v>
      </c>
    </row>
    <row r="6" spans="1:12" x14ac:dyDescent="0.25">
      <c r="A6" s="252" t="s">
        <v>68</v>
      </c>
      <c r="B6" s="77" t="s">
        <v>13</v>
      </c>
      <c r="C6" s="78">
        <f>Sorghum!D6</f>
        <v>301.23</v>
      </c>
      <c r="D6" s="78">
        <f>Sorghum!E6</f>
        <v>274.53399999999999</v>
      </c>
      <c r="E6" s="116">
        <f>Sorghum!F6</f>
        <v>238.16200000000001</v>
      </c>
      <c r="F6" s="116">
        <f>Sorghum!G6</f>
        <v>311.79599999999999</v>
      </c>
      <c r="G6" s="116">
        <f>Sorghum!H6</f>
        <v>353.89359685221535</v>
      </c>
      <c r="H6" s="117">
        <f t="shared" si="0"/>
        <v>0.13501647504206393</v>
      </c>
      <c r="I6" s="144">
        <f t="shared" si="2"/>
        <v>295.92311937044303</v>
      </c>
      <c r="J6" s="117">
        <f t="shared" si="1"/>
        <v>0.19589708842317122</v>
      </c>
      <c r="K6" s="116" t="str">
        <f>Sorghum!L6</f>
        <v>ABARES (2019a)</v>
      </c>
      <c r="L6" s="275" t="str">
        <f>Sorghum!M6</f>
        <v xml:space="preserve">Australian Bureau of Agricultural and Resource Economics and Sciences (2019). Agricultural Commodities, September 2019. Last accessed September 2019. </v>
      </c>
    </row>
    <row r="7" spans="1:12" x14ac:dyDescent="0.25">
      <c r="A7" s="252" t="s">
        <v>270</v>
      </c>
      <c r="B7" s="77" t="s">
        <v>13</v>
      </c>
      <c r="C7" s="78">
        <f>Pulses!D6</f>
        <v>566.54499999999996</v>
      </c>
      <c r="D7" s="78">
        <f>Pulses!E6</f>
        <v>783.56100000000004</v>
      </c>
      <c r="E7" s="116">
        <f>Pulses!F6</f>
        <v>832.61400000000003</v>
      </c>
      <c r="F7" s="116">
        <f>Pulses!G6</f>
        <v>651.15200000000004</v>
      </c>
      <c r="G7" s="116">
        <f>Pulses!H6</f>
        <v>1081.56</v>
      </c>
      <c r="H7" s="117">
        <f t="shared" si="0"/>
        <v>0.66099466791163941</v>
      </c>
      <c r="I7" s="144">
        <f t="shared" si="2"/>
        <v>783.08640000000003</v>
      </c>
      <c r="J7" s="117">
        <f t="shared" si="1"/>
        <v>0.38115027920290778</v>
      </c>
      <c r="K7" s="116" t="str">
        <f>Pulses!L6</f>
        <v>ABARES (2019a)</v>
      </c>
      <c r="L7" s="275" t="str">
        <f>Pulses!M6</f>
        <v xml:space="preserve">Australian Bureau of Agricultural and Resource Economics and Sciences (2019). Agricultural Commodities, September 2019. Last accessed September 2019. </v>
      </c>
    </row>
    <row r="8" spans="1:12" x14ac:dyDescent="0.25">
      <c r="A8" s="252" t="s">
        <v>271</v>
      </c>
      <c r="B8" s="77" t="s">
        <v>13</v>
      </c>
      <c r="C8" s="78">
        <f>Oilseeds!D6</f>
        <v>503.48899999999998</v>
      </c>
      <c r="D8" s="78">
        <f>Oilseeds!E6</f>
        <v>531.67899999999997</v>
      </c>
      <c r="E8" s="116">
        <f>Oilseeds!F6</f>
        <v>559.226</v>
      </c>
      <c r="F8" s="116">
        <f>Oilseeds!G6</f>
        <v>539.11599999999999</v>
      </c>
      <c r="G8" s="116">
        <f>Oilseeds!H6</f>
        <v>608.04899999999998</v>
      </c>
      <c r="H8" s="117">
        <f t="shared" si="0"/>
        <v>0.12786302020344409</v>
      </c>
      <c r="I8" s="144">
        <f t="shared" si="2"/>
        <v>548.31179999999995</v>
      </c>
      <c r="J8" s="117">
        <f t="shared" si="1"/>
        <v>0.1089475003091307</v>
      </c>
      <c r="K8" s="116" t="str">
        <f>Oilseeds!L6</f>
        <v>ABARES (2019a)</v>
      </c>
      <c r="L8" s="275" t="str">
        <f>Oilseeds!M6</f>
        <v xml:space="preserve">Australian Bureau of Agricultural and Resource Economics and Sciences (2019). Agricultural Commodities, September 2019. Last accessed September 2019. </v>
      </c>
    </row>
    <row r="9" spans="1:12" x14ac:dyDescent="0.25">
      <c r="A9" s="252" t="s">
        <v>118</v>
      </c>
      <c r="B9" s="77" t="s">
        <v>29</v>
      </c>
      <c r="C9" s="78">
        <f>'Cotton Lint'!D6</f>
        <v>450.70396</v>
      </c>
      <c r="D9" s="78">
        <f>'Cotton Lint'!E6</f>
        <v>514.47506999999996</v>
      </c>
      <c r="E9" s="116">
        <f>'Cotton Lint'!F6</f>
        <v>578.92718000000002</v>
      </c>
      <c r="F9" s="116">
        <f>'Cotton Lint'!G6</f>
        <v>597.23018999999988</v>
      </c>
      <c r="G9" s="116">
        <f>'Cotton Lint'!H6</f>
        <v>642.96388000000002</v>
      </c>
      <c r="H9" s="117">
        <f t="shared" si="0"/>
        <v>7.6576319760392808E-2</v>
      </c>
      <c r="I9" s="144">
        <f t="shared" si="2"/>
        <v>556.86005599999987</v>
      </c>
      <c r="J9" s="117">
        <f t="shared" si="1"/>
        <v>0.15462381090591304</v>
      </c>
      <c r="K9" s="116" t="str">
        <f>'Cotton Lint'!L6</f>
        <v>ABARES (2019a)</v>
      </c>
      <c r="L9" s="275" t="str">
        <f>'Cotton Lint'!M6</f>
        <v xml:space="preserve">Australian Bureau of Agricultural and Resource Economics and Sciences (2019). Agricultural Commodities, September 2019. Last accessed September 2019. </v>
      </c>
    </row>
    <row r="10" spans="1:12" x14ac:dyDescent="0.25">
      <c r="A10" s="252" t="s">
        <v>71</v>
      </c>
      <c r="B10" s="77" t="s">
        <v>13</v>
      </c>
      <c r="C10" s="78">
        <f>'Sugar Cane'!D6</f>
        <v>40.292999999999999</v>
      </c>
      <c r="D10" s="78">
        <f>'Sugar Cane'!E6</f>
        <v>37.299999999999997</v>
      </c>
      <c r="E10" s="116">
        <f>'Sugar Cane'!F6</f>
        <v>44.430999999999997</v>
      </c>
      <c r="F10" s="116">
        <f>'Sugar Cane'!G6</f>
        <v>39.378999999999998</v>
      </c>
      <c r="G10" s="116">
        <f>'Sugar Cane'!H6</f>
        <v>35.128999999999998</v>
      </c>
      <c r="H10" s="117">
        <f t="shared" si="0"/>
        <v>-0.1079255440717134</v>
      </c>
      <c r="I10" s="144">
        <f t="shared" si="2"/>
        <v>39.306399999999996</v>
      </c>
      <c r="J10" s="117">
        <f t="shared" si="1"/>
        <v>-0.10627785805873846</v>
      </c>
      <c r="K10" s="116" t="str">
        <f>'Sugar Cane'!L6</f>
        <v>ABARES (2019a)</v>
      </c>
      <c r="L10" s="275" t="str">
        <f>'Sugar Cane'!M6</f>
        <v xml:space="preserve">Australian Bureau of Agricultural and Resource Economics and Sciences (2019). Agricultural Commodities, September 2019. Last accessed September 2019. </v>
      </c>
    </row>
    <row r="11" spans="1:12" x14ac:dyDescent="0.25">
      <c r="A11" s="250" t="s">
        <v>289</v>
      </c>
      <c r="B11" s="72"/>
      <c r="C11" s="80"/>
      <c r="D11" s="80"/>
      <c r="E11" s="80"/>
      <c r="F11" s="80"/>
      <c r="G11" s="80"/>
      <c r="H11" s="112"/>
      <c r="I11" s="145" t="str">
        <f t="shared" si="2"/>
        <v/>
      </c>
      <c r="J11" s="112"/>
      <c r="K11" s="80"/>
      <c r="L11" s="276"/>
    </row>
    <row r="12" spans="1:12" x14ac:dyDescent="0.25">
      <c r="A12" s="252" t="s">
        <v>285</v>
      </c>
      <c r="B12" s="77" t="s">
        <v>272</v>
      </c>
      <c r="C12" s="78">
        <f>Horticulture!D12</f>
        <v>95.174999999999997</v>
      </c>
      <c r="D12" s="78">
        <f>Horticulture!E12</f>
        <v>91.375</v>
      </c>
      <c r="E12" s="78">
        <f>Horticulture!F12</f>
        <v>99.375</v>
      </c>
      <c r="F12" s="78">
        <f>Horticulture!G12</f>
        <v>99.474999999999994</v>
      </c>
      <c r="G12" s="78">
        <f>Horticulture!H12</f>
        <v>103.125</v>
      </c>
      <c r="H12" s="111">
        <f>IF(ISBLANK(G12),"N/A",IF(ISNA(G12/F12-1),"N/A",IF(ISERROR(G12/F12-1),"N/A",G12/F12-1)))</f>
        <v>3.669263634078912E-2</v>
      </c>
      <c r="I12" s="146">
        <f t="shared" si="2"/>
        <v>97.704999999999998</v>
      </c>
      <c r="J12" s="111">
        <f>IF(ISBLANK(G12),"",IF(ISNA(G12/AVERAGE(C12:G12)-1),"N/A",IF(ISERROR(G12/AVERAGE(C12:G12)-1),"N/A",G12/AVERAGE(C12:G12)-1)))</f>
        <v>5.5473107824574042E-2</v>
      </c>
      <c r="K12" s="78" t="str">
        <f>Horticulture!L12</f>
        <v>ABS (2019a)</v>
      </c>
      <c r="L12" s="277" t="str">
        <f>Horticulture!M12</f>
        <v xml:space="preserve">Australian Bureau of Statistics (2019). 6401.0 Consumer Price Index, Australia, June 2019. Last accessed September 2019. </v>
      </c>
    </row>
    <row r="13" spans="1:12" x14ac:dyDescent="0.25">
      <c r="A13" s="252" t="s">
        <v>286</v>
      </c>
      <c r="B13" s="77" t="s">
        <v>272</v>
      </c>
      <c r="C13" s="78">
        <f>Horticulture!D13</f>
        <v>115.45</v>
      </c>
      <c r="D13" s="78">
        <f>Horticulture!E13</f>
        <v>111.47499999999999</v>
      </c>
      <c r="E13" s="78">
        <f>Horticulture!F13</f>
        <v>128.02500000000001</v>
      </c>
      <c r="F13" s="78">
        <f>Horticulture!G13</f>
        <v>116.875</v>
      </c>
      <c r="G13" s="78">
        <f>Horticulture!H13</f>
        <v>121.72500000000001</v>
      </c>
      <c r="H13" s="111">
        <f>IF(ISBLANK(G13),"N/A",IF(ISNA(G13/F13-1),"N/A",IF(ISERROR(G13/F13-1),"N/A",G13/F13-1)))</f>
        <v>4.1497326203208562E-2</v>
      </c>
      <c r="I13" s="146">
        <f t="shared" si="2"/>
        <v>118.71000000000001</v>
      </c>
      <c r="J13" s="111">
        <f>IF(ISBLANK(G13),"",IF(ISNA(G13/AVERAGE(C13:G13)-1),"N/A",IF(ISERROR(G13/AVERAGE(C13:G13)-1),"N/A",G13/AVERAGE(C13:G13)-1)))</f>
        <v>2.5398028809704432E-2</v>
      </c>
      <c r="K13" s="78" t="str">
        <f>Horticulture!L13</f>
        <v>ABS (2019a)</v>
      </c>
      <c r="L13" s="277" t="str">
        <f>Horticulture!M13</f>
        <v xml:space="preserve">Australian Bureau of Statistics (2019). 6401.0 Consumer Price Index, Australia, June 2019. Last accessed September 2019. </v>
      </c>
    </row>
    <row r="14" spans="1:12" x14ac:dyDescent="0.25">
      <c r="A14" s="252" t="s">
        <v>73</v>
      </c>
      <c r="B14" s="77" t="s">
        <v>13</v>
      </c>
      <c r="C14" s="78">
        <f>Wine!D6</f>
        <v>475.77499999999998</v>
      </c>
      <c r="D14" s="78">
        <f>Wine!E6</f>
        <v>544.1</v>
      </c>
      <c r="E14" s="116">
        <f>Wine!F6</f>
        <v>565</v>
      </c>
      <c r="F14" s="116">
        <f>Wine!G6</f>
        <v>609</v>
      </c>
      <c r="G14" s="116">
        <f>Wine!H6</f>
        <v>664</v>
      </c>
      <c r="H14" s="117">
        <f>IF(ISBLANK(G14),"N/A",IF(ISNA(G14/F14-1),"N/A",IF(ISERROR(G14/F14-1),"N/A",G14/F14-1)))</f>
        <v>9.0311986863711002E-2</v>
      </c>
      <c r="I14" s="144">
        <f t="shared" si="2"/>
        <v>571.57500000000005</v>
      </c>
      <c r="J14" s="117">
        <f>IF(ISBLANK(G14),"",IF(ISNA(G14/AVERAGE(C14:G14)-1),"N/A",IF(ISERROR(G14/AVERAGE(C14:G14)-1),"N/A",G14/AVERAGE(C14:G14)-1)))</f>
        <v>0.16170231378209321</v>
      </c>
      <c r="K14" s="116" t="str">
        <f>Wine!L6</f>
        <v>ABARES (2019a)</v>
      </c>
      <c r="L14" s="275" t="str">
        <f>Wine!M6</f>
        <v xml:space="preserve">Australian Bureau of Agricultural and Resource Economics and Sciences (2019). Agricultural Commodities, September 2019. Last accessed September 2019. </v>
      </c>
    </row>
    <row r="15" spans="1:12" x14ac:dyDescent="0.25">
      <c r="A15" s="254" t="s">
        <v>148</v>
      </c>
      <c r="B15" s="72"/>
      <c r="C15" s="80"/>
      <c r="D15" s="80"/>
      <c r="E15" s="80"/>
      <c r="F15" s="80"/>
      <c r="G15" s="80"/>
      <c r="H15" s="112"/>
      <c r="I15" s="145" t="str">
        <f t="shared" si="2"/>
        <v/>
      </c>
      <c r="J15" s="112"/>
      <c r="K15" s="80"/>
      <c r="L15" s="276"/>
    </row>
    <row r="16" spans="1:12" x14ac:dyDescent="0.25">
      <c r="A16" s="252" t="s">
        <v>273</v>
      </c>
      <c r="B16" s="77" t="s">
        <v>276</v>
      </c>
      <c r="C16" s="78">
        <f>Beef!D9</f>
        <v>400.75688073394497</v>
      </c>
      <c r="D16" s="78">
        <f>Beef!E9</f>
        <v>578.00991189427316</v>
      </c>
      <c r="E16" s="78">
        <f>Beef!F9</f>
        <v>660.625</v>
      </c>
      <c r="F16" s="78">
        <f>Beef!G9</f>
        <v>541.30711206896547</v>
      </c>
      <c r="G16" s="78">
        <f>Beef!H9</f>
        <v>484.51439790575915</v>
      </c>
      <c r="H16" s="111">
        <f t="shared" ref="H16:H26" si="3">IF(ISBLANK(G16),"N/A",IF(ISNA(G16/F16-1),"N/A",IF(ISERROR(G16/F16-1),"N/A",G16/F16-1)))</f>
        <v>-0.10491773135242055</v>
      </c>
      <c r="I16" s="146">
        <f t="shared" si="2"/>
        <v>533.04266052058858</v>
      </c>
      <c r="J16" s="111">
        <f t="shared" ref="J16:J26" si="4">IF(ISBLANK(G16),"",IF(ISNA(G16/AVERAGE(C16:G16)-1),"N/A",IF(ISERROR(G16/AVERAGE(C16:G16)-1),"N/A",G16/AVERAGE(C16:G16)-1)))</f>
        <v>-9.104011031206205E-2</v>
      </c>
      <c r="K16" s="78" t="str">
        <f>Beef!L9</f>
        <v>MLA (2019a)</v>
      </c>
      <c r="L16" s="277" t="str">
        <f>Beef!M9</f>
        <v>Meat and Livestock Australia (2019). Market Information and Statistics Database Custom Report. Last accessed September 2019.</v>
      </c>
    </row>
    <row r="17" spans="1:12" x14ac:dyDescent="0.25">
      <c r="A17" s="252" t="s">
        <v>275</v>
      </c>
      <c r="B17" s="77" t="s">
        <v>276</v>
      </c>
      <c r="C17" s="78">
        <f>Beef!D10</f>
        <v>323.34998002048809</v>
      </c>
      <c r="D17" s="78">
        <f>Beef!E10</f>
        <v>425.95418654702632</v>
      </c>
      <c r="E17" s="78">
        <f>Beef!F10</f>
        <v>458.17769650728656</v>
      </c>
      <c r="F17" s="78">
        <f>Beef!G10</f>
        <v>388.67203898169703</v>
      </c>
      <c r="G17" s="78">
        <f>Beef!H10</f>
        <v>386.22797826504188</v>
      </c>
      <c r="H17" s="111">
        <f t="shared" si="3"/>
        <v>-6.2882339647031271E-3</v>
      </c>
      <c r="I17" s="146">
        <f t="shared" si="2"/>
        <v>396.47637606430794</v>
      </c>
      <c r="J17" s="111">
        <f t="shared" si="4"/>
        <v>-2.5848697218731065E-2</v>
      </c>
      <c r="K17" s="78" t="str">
        <f>Beef!L10</f>
        <v>MLA (2019a)</v>
      </c>
      <c r="L17" s="277" t="str">
        <f>Beef!M10</f>
        <v>Meat and Livestock Australia (2019). Market Information and Statistics Database Custom Report. Last accessed September 2019.</v>
      </c>
    </row>
    <row r="18" spans="1:12" x14ac:dyDescent="0.25">
      <c r="A18" s="252" t="s">
        <v>274</v>
      </c>
      <c r="B18" s="77" t="s">
        <v>276</v>
      </c>
      <c r="C18" s="78">
        <f>Beef!D11</f>
        <v>389.83793808217956</v>
      </c>
      <c r="D18" s="78">
        <f>Beef!E11</f>
        <v>516.86994957901675</v>
      </c>
      <c r="E18" s="78">
        <f>Beef!F11</f>
        <v>551.8130486669512</v>
      </c>
      <c r="F18" s="78">
        <f>Beef!G11</f>
        <v>482.40814419167566</v>
      </c>
      <c r="G18" s="78">
        <f>Beef!H11</f>
        <v>503.98284215644009</v>
      </c>
      <c r="H18" s="111">
        <f t="shared" si="3"/>
        <v>4.4722914039760031E-2</v>
      </c>
      <c r="I18" s="146">
        <f t="shared" si="2"/>
        <v>488.98238453525266</v>
      </c>
      <c r="J18" s="111">
        <f t="shared" si="4"/>
        <v>3.0676887543596099E-2</v>
      </c>
      <c r="K18" s="78" t="str">
        <f>Beef!L11</f>
        <v>MLA (2019a)</v>
      </c>
      <c r="L18" s="277" t="str">
        <f>Beef!M11</f>
        <v>Meat and Livestock Australia (2019). Market Information and Statistics Database Custom Report. Last accessed September 2019.</v>
      </c>
    </row>
    <row r="19" spans="1:12" x14ac:dyDescent="0.25">
      <c r="A19" s="252" t="s">
        <v>277</v>
      </c>
      <c r="B19" s="77" t="s">
        <v>276</v>
      </c>
      <c r="C19" s="78">
        <f>'Sheep Meat'!D7</f>
        <v>519.6610878661088</v>
      </c>
      <c r="D19" s="78">
        <f>'Sheep Meat'!E7</f>
        <v>544.29583333333335</v>
      </c>
      <c r="E19" s="78">
        <f>'Sheep Meat'!F7</f>
        <v>611.42083333333335</v>
      </c>
      <c r="F19" s="78">
        <f>'Sheep Meat'!G7</f>
        <v>615.53974895397494</v>
      </c>
      <c r="G19" s="78">
        <f>'Sheep Meat'!H7</f>
        <v>737.33898305084745</v>
      </c>
      <c r="H19" s="111">
        <f t="shared" si="3"/>
        <v>0.19787387297709613</v>
      </c>
      <c r="I19" s="146">
        <f t="shared" si="2"/>
        <v>605.6512973075196</v>
      </c>
      <c r="J19" s="111">
        <f t="shared" si="4"/>
        <v>0.21743152591063208</v>
      </c>
      <c r="K19" s="78" t="str">
        <f>'Sheep Meat'!L7</f>
        <v>MLA (2019a)</v>
      </c>
      <c r="L19" s="277" t="str">
        <f>'Sheep Meat'!M7</f>
        <v>Meat and Livestock Australia (2019). Market Information and Statistics Database Custom Report. Last accessed September 2019.</v>
      </c>
    </row>
    <row r="20" spans="1:12" x14ac:dyDescent="0.25">
      <c r="A20" s="252" t="s">
        <v>278</v>
      </c>
      <c r="B20" s="77" t="s">
        <v>276</v>
      </c>
      <c r="C20" s="78">
        <f>'Sheep Meat'!D8</f>
        <v>307.58854781582056</v>
      </c>
      <c r="D20" s="78">
        <f>'Sheep Meat'!E8</f>
        <v>298.59834791059285</v>
      </c>
      <c r="E20" s="78">
        <f>'Sheep Meat'!F8</f>
        <v>371.92409240924093</v>
      </c>
      <c r="F20" s="78">
        <f>'Sheep Meat'!G8</f>
        <v>403.21334586466156</v>
      </c>
      <c r="G20" s="78">
        <f>'Sheep Meat'!H8</f>
        <v>432.65614035087719</v>
      </c>
      <c r="H20" s="111">
        <f t="shared" si="3"/>
        <v>7.3020386820475069E-2</v>
      </c>
      <c r="I20" s="146">
        <f t="shared" si="2"/>
        <v>362.79609487023862</v>
      </c>
      <c r="J20" s="111">
        <f t="shared" si="4"/>
        <v>0.19256008118175982</v>
      </c>
      <c r="K20" s="78" t="str">
        <f>'Sheep Meat'!L8</f>
        <v>MLA (2019a)</v>
      </c>
      <c r="L20" s="277" t="str">
        <f>'Sheep Meat'!M8</f>
        <v>Meat and Livestock Australia (2019). Market Information and Statistics Database Custom Report. Last accessed September 2019.</v>
      </c>
    </row>
    <row r="21" spans="1:12" x14ac:dyDescent="0.25">
      <c r="A21" s="252" t="s">
        <v>279</v>
      </c>
      <c r="B21" s="77" t="s">
        <v>276</v>
      </c>
      <c r="C21" s="78">
        <f>+'Goat Meat'!D4</f>
        <v>373.46938775510205</v>
      </c>
      <c r="D21" s="78">
        <f>+'Goat Meat'!E4</f>
        <v>499.9591836734694</v>
      </c>
      <c r="E21" s="78">
        <f>+'Goat Meat'!F4</f>
        <v>615.59183673469386</v>
      </c>
      <c r="F21" s="78">
        <f>+'Goat Meat'!G4</f>
        <v>498.20833333333331</v>
      </c>
      <c r="G21" s="78">
        <f>+'Goat Meat'!H4</f>
        <v>620.58333333333337</v>
      </c>
      <c r="H21" s="111">
        <f>+'Goat Meat'!I4</f>
        <v>0.2456301747930083</v>
      </c>
      <c r="I21" s="146">
        <f>+'Goat Meat'!J4</f>
        <v>521.56241496598636</v>
      </c>
      <c r="J21" s="111">
        <f>+'Goat Meat'!K4</f>
        <v>0.18985439810459637</v>
      </c>
      <c r="K21" s="78" t="str">
        <f>+'Goat Meat'!L4</f>
        <v>MLA (2019a)</v>
      </c>
      <c r="L21" s="277" t="str">
        <f>+'Goat Meat'!M4</f>
        <v>Meat and Livestock Australia (2019). Market Information and Statistics Database Custom Report. Last accessed September 2019.</v>
      </c>
    </row>
    <row r="22" spans="1:12" x14ac:dyDescent="0.25">
      <c r="A22" s="252" t="s">
        <v>125</v>
      </c>
      <c r="B22" s="77" t="s">
        <v>276</v>
      </c>
      <c r="C22" s="78">
        <f>Pork!D5</f>
        <v>309.577</v>
      </c>
      <c r="D22" s="78">
        <f>Pork!E5</f>
        <v>358.30200000000002</v>
      </c>
      <c r="E22" s="116">
        <f>Pork!F5</f>
        <v>337.916</v>
      </c>
      <c r="F22" s="116">
        <f>Pork!G5</f>
        <v>274.49</v>
      </c>
      <c r="G22" s="116">
        <f>Pork!H5</f>
        <v>298.29199999999997</v>
      </c>
      <c r="H22" s="117">
        <f t="shared" si="3"/>
        <v>8.6713541476920675E-2</v>
      </c>
      <c r="I22" s="144">
        <f t="shared" si="2"/>
        <v>315.71539999999999</v>
      </c>
      <c r="J22" s="117">
        <f t="shared" si="4"/>
        <v>-5.5187045041198535E-2</v>
      </c>
      <c r="K22" s="116" t="str">
        <f>Pork!L5</f>
        <v>ABARES (2019a)</v>
      </c>
      <c r="L22" s="275" t="str">
        <f>Pork!M5</f>
        <v xml:space="preserve">Australian Bureau of Agricultural and Resource Economics and Sciences (2019). Agricultural Commodities, September 2019. Last accessed September 2019. </v>
      </c>
    </row>
    <row r="23" spans="1:12" x14ac:dyDescent="0.25">
      <c r="A23" s="252" t="s">
        <v>74</v>
      </c>
      <c r="B23" s="77" t="s">
        <v>276</v>
      </c>
      <c r="C23" s="78">
        <f>Poultry!D5</f>
        <v>226.10599999999999</v>
      </c>
      <c r="D23" s="78">
        <f>Poultry!E5</f>
        <v>223.29400000000001</v>
      </c>
      <c r="E23" s="116">
        <f>Poultry!F5</f>
        <v>215.49799999999999</v>
      </c>
      <c r="F23" s="116">
        <f>Poultry!G5</f>
        <v>217.83799999999999</v>
      </c>
      <c r="G23" s="116">
        <f>Poultry!H5</f>
        <v>220.96299999999999</v>
      </c>
      <c r="H23" s="117">
        <f t="shared" si="3"/>
        <v>1.4345522819710022E-2</v>
      </c>
      <c r="I23" s="144">
        <f t="shared" si="2"/>
        <v>220.73979999999997</v>
      </c>
      <c r="J23" s="117">
        <f t="shared" si="4"/>
        <v>1.0111452488406059E-3</v>
      </c>
      <c r="K23" s="116" t="str">
        <f>Poultry!L5</f>
        <v>ABARES (2019a)</v>
      </c>
      <c r="L23" s="275" t="str">
        <f>Poultry!M5</f>
        <v xml:space="preserve">Australian Bureau of Agricultural and Resource Economics and Sciences (2019). Agricultural Commodities, September 2019. Last accessed September 2019. </v>
      </c>
    </row>
    <row r="24" spans="1:12" x14ac:dyDescent="0.25">
      <c r="A24" s="278" t="s">
        <v>280</v>
      </c>
      <c r="B24" s="77" t="s">
        <v>281</v>
      </c>
      <c r="C24" s="78">
        <f>Wool!D6</f>
        <v>1098</v>
      </c>
      <c r="D24" s="78">
        <f>Wool!E6</f>
        <v>1256</v>
      </c>
      <c r="E24" s="116">
        <f>Wool!F6</f>
        <v>1415</v>
      </c>
      <c r="F24" s="116">
        <f>Wool!G6</f>
        <v>1723.1555555555601</v>
      </c>
      <c r="G24" s="116">
        <f>Wool!H6</f>
        <v>1723.1559999999999</v>
      </c>
      <c r="H24" s="117">
        <f t="shared" si="3"/>
        <v>2.5792473490326984E-7</v>
      </c>
      <c r="I24" s="144">
        <f t="shared" si="2"/>
        <v>1443.0623111111122</v>
      </c>
      <c r="J24" s="117">
        <f t="shared" si="4"/>
        <v>0.19409673908898961</v>
      </c>
      <c r="K24" s="116" t="str">
        <f>Wool!L6</f>
        <v>ABARES (2019a)</v>
      </c>
      <c r="L24" s="275" t="str">
        <f>Wool!M6</f>
        <v xml:space="preserve">Australian Bureau of Agricultural and Resource Economics and Sciences (2019). Agricultural Commodities, September 2019. Last accessed September 2019. </v>
      </c>
    </row>
    <row r="25" spans="1:12" x14ac:dyDescent="0.25">
      <c r="A25" s="252" t="s">
        <v>284</v>
      </c>
      <c r="B25" s="77" t="s">
        <v>272</v>
      </c>
      <c r="C25" s="78">
        <f>Eggs!D7</f>
        <v>110.7</v>
      </c>
      <c r="D25" s="78">
        <f>Eggs!E7</f>
        <v>108.27500000000001</v>
      </c>
      <c r="E25" s="78">
        <f>Eggs!F7</f>
        <v>109.17500000000001</v>
      </c>
      <c r="F25" s="78">
        <f>Eggs!G7</f>
        <v>105.825</v>
      </c>
      <c r="G25" s="78">
        <f>Eggs!H7</f>
        <v>106.7</v>
      </c>
      <c r="H25" s="111">
        <f t="shared" si="3"/>
        <v>8.2683675879990925E-3</v>
      </c>
      <c r="I25" s="146">
        <f t="shared" si="2"/>
        <v>108.13500000000002</v>
      </c>
      <c r="J25" s="111">
        <f t="shared" si="4"/>
        <v>-1.3270448975817417E-2</v>
      </c>
      <c r="K25" s="78" t="str">
        <f>Eggs!L7</f>
        <v>ABS (2019a)</v>
      </c>
      <c r="L25" s="277" t="str">
        <f>Eggs!M7</f>
        <v xml:space="preserve">Australian Bureau of Statistics (2019). 6401.0 Consumer Price Index, Australia, June 2019. Last accessed September 2019. </v>
      </c>
    </row>
    <row r="26" spans="1:12" x14ac:dyDescent="0.25">
      <c r="A26" s="252" t="s">
        <v>282</v>
      </c>
      <c r="B26" s="110" t="s">
        <v>46</v>
      </c>
      <c r="C26" s="78" t="str">
        <f>Milk!D7</f>
        <v> 52.8</v>
      </c>
      <c r="D26" s="78">
        <f>Milk!E7</f>
        <v>51</v>
      </c>
      <c r="E26" s="78">
        <f>Milk!F7</f>
        <v>49</v>
      </c>
      <c r="F26" s="78">
        <f>Milk!G7</f>
        <v>50.5</v>
      </c>
      <c r="G26" s="78" t="str">
        <f>Milk!H7</f>
        <v>N/A</v>
      </c>
      <c r="H26" s="111" t="str">
        <f t="shared" si="3"/>
        <v>N/A</v>
      </c>
      <c r="I26" s="146">
        <f t="shared" si="2"/>
        <v>50.166666666666664</v>
      </c>
      <c r="J26" s="111" t="str">
        <f t="shared" si="4"/>
        <v>N/A</v>
      </c>
      <c r="K26" s="78" t="str">
        <f>Milk!L7</f>
        <v>DA (2019d)</v>
      </c>
      <c r="L26" s="277" t="str">
        <f>Milk!M7</f>
        <v>Dairy Australia (2019), Farmgate Milk Price, last accessed October 2019, &lt;https://www.dairyaustralia.com.au/industry/prices/farmgate-milk-price&gt;</v>
      </c>
    </row>
    <row r="27" spans="1:12" x14ac:dyDescent="0.25">
      <c r="A27" s="250" t="s">
        <v>288</v>
      </c>
      <c r="B27" s="72"/>
      <c r="C27" s="80"/>
      <c r="D27" s="80"/>
      <c r="E27" s="80"/>
      <c r="F27" s="80"/>
      <c r="G27" s="80"/>
      <c r="H27" s="112"/>
      <c r="I27" s="145" t="str">
        <f t="shared" si="2"/>
        <v/>
      </c>
      <c r="J27" s="112"/>
      <c r="K27" s="161"/>
      <c r="L27" s="276"/>
    </row>
    <row r="28" spans="1:12" ht="17.25" x14ac:dyDescent="0.25">
      <c r="A28" s="252" t="s">
        <v>543</v>
      </c>
      <c r="B28" s="77" t="s">
        <v>283</v>
      </c>
      <c r="C28" s="78">
        <f>Forestry!D9</f>
        <v>77.083873789461975</v>
      </c>
      <c r="D28" s="78">
        <f>Forestry!E9</f>
        <v>73.858862477316279</v>
      </c>
      <c r="E28" s="78">
        <f>Forestry!F9</f>
        <v>75.367484026536587</v>
      </c>
      <c r="F28" s="78">
        <f>Forestry!G9</f>
        <v>78.802801953664542</v>
      </c>
      <c r="G28" s="78" t="str">
        <f>Forestry!H9</f>
        <v>N/A</v>
      </c>
      <c r="H28" s="111" t="str">
        <f>IF(ISBLANK(G28),"N/A",IF(ISNA(G28/F28-1),"N/A",IF(ISERROR(G28/F28-1),"N/A",G28/F28-1)))</f>
        <v>N/A</v>
      </c>
      <c r="I28" s="146">
        <f t="shared" si="2"/>
        <v>76.278255561744842</v>
      </c>
      <c r="J28" s="111" t="str">
        <f>IF(ISBLANK(G28),"",IF(ISNA(G28/AVERAGE(C28:G28)-1),"N/A",IF(ISERROR(G28/AVERAGE(C28:G28)-1),"N/A",G28/AVERAGE(C28:G28)-1)))</f>
        <v>N/A</v>
      </c>
      <c r="K28" s="116" t="str">
        <f>Forestry!L9</f>
        <v>ABARES (2019c)</v>
      </c>
      <c r="L28" s="279" t="str">
        <f>Forestry!M9</f>
        <v>Australian Bureau of Agricultural and Resource Economics and Sciences (2019). Australian Forest and Wood Product Statistics September – December 2018. Last accessed July 2019.</v>
      </c>
    </row>
    <row r="29" spans="1:12" ht="17.25" x14ac:dyDescent="0.25">
      <c r="A29" s="252" t="s">
        <v>542</v>
      </c>
      <c r="B29" s="77" t="s">
        <v>283</v>
      </c>
      <c r="C29" s="78">
        <f>Forestry!D10</f>
        <v>122.18380931764193</v>
      </c>
      <c r="D29" s="78">
        <f>Forestry!E10</f>
        <v>122.03885260975254</v>
      </c>
      <c r="E29" s="78">
        <f>Forestry!F10</f>
        <v>119.67253848955757</v>
      </c>
      <c r="F29" s="78">
        <f>Forestry!G10</f>
        <v>122.18464798847636</v>
      </c>
      <c r="G29" s="78" t="str">
        <f>Forestry!H10</f>
        <v>N/A</v>
      </c>
      <c r="H29" s="111" t="str">
        <f>IF(ISBLANK(G29),"N/A",IF(ISNA(G29/F29-1),"N/A",IF(ISERROR(G29/F29-1),"N/A",G29/F29-1)))</f>
        <v>N/A</v>
      </c>
      <c r="I29" s="146">
        <f t="shared" si="2"/>
        <v>121.51996210135709</v>
      </c>
      <c r="J29" s="111" t="str">
        <f>IF(ISBLANK(G29),"",IF(ISNA(G29/AVERAGE(C29:G29)-1),"N/A",IF(ISERROR(G29/AVERAGE(C29:G29)-1),"N/A",G29/AVERAGE(C29:G29)-1)))</f>
        <v>N/A</v>
      </c>
      <c r="K29" s="78" t="str">
        <f>Forestry!L10</f>
        <v>ABARES (2019c)</v>
      </c>
      <c r="L29" s="279" t="str">
        <f>Forestry!M10</f>
        <v>Australian Bureau of Agricultural and Resource Economics and Sciences (2019). Australian Forest and Wood Product Statistics September – December 2018. Last accessed July 2019.</v>
      </c>
    </row>
    <row r="30" spans="1:12" x14ac:dyDescent="0.25">
      <c r="A30" s="265" t="s">
        <v>287</v>
      </c>
      <c r="B30" s="266" t="s">
        <v>272</v>
      </c>
      <c r="C30" s="267">
        <f>Fisheries!D7</f>
        <v>107.52500000000001</v>
      </c>
      <c r="D30" s="267">
        <f>Fisheries!E7</f>
        <v>108.64999999999999</v>
      </c>
      <c r="E30" s="267">
        <f>Fisheries!F7</f>
        <v>110.75</v>
      </c>
      <c r="F30" s="267">
        <f>Fisheries!G7</f>
        <v>113.02500000000001</v>
      </c>
      <c r="G30" s="267">
        <f>Fisheries!H7</f>
        <v>116</v>
      </c>
      <c r="H30" s="280">
        <f>IF(ISBLANK(G30),"N/A",IF(ISNA(G30/F30-1),"N/A",IF(ISERROR(G30/F30-1),"N/A",G30/F30-1)))</f>
        <v>2.6321610263216E-2</v>
      </c>
      <c r="I30" s="281">
        <f t="shared" si="2"/>
        <v>111.19000000000001</v>
      </c>
      <c r="J30" s="280">
        <f>IF(ISBLANK(G30),"",IF(ISNA(G30/AVERAGE(C30:G30)-1),"N/A",IF(ISERROR(G30/AVERAGE(C30:G30)-1),"N/A",G30/AVERAGE(C30:G30)-1)))</f>
        <v>4.3259285907006007E-2</v>
      </c>
      <c r="K30" s="282" t="str">
        <f>Fisheries!L7</f>
        <v>ABS (2019a)</v>
      </c>
      <c r="L30" s="283" t="str">
        <f>Fisheries!M7</f>
        <v xml:space="preserve">Australian Bureau of Statistics (2019). 6401.0 Consumer Price Index, Australia, June 2019. Last accessed September 2019. </v>
      </c>
    </row>
    <row r="31" spans="1:12" x14ac:dyDescent="0.25">
      <c r="A31" s="53" t="s">
        <v>80</v>
      </c>
    </row>
    <row r="32" spans="1:12" ht="17.25" x14ac:dyDescent="0.25">
      <c r="A32" s="2" t="s">
        <v>541</v>
      </c>
    </row>
    <row r="33" spans="1:1" ht="17.25" x14ac:dyDescent="0.25">
      <c r="A33" s="81" t="s">
        <v>529</v>
      </c>
    </row>
  </sheetData>
  <conditionalFormatting sqref="B28:F30 A3:F26 A2:L2 H3:L30">
    <cfRule type="expression" dxfId="55" priority="12">
      <formula>MOD(ROW(),2)=0</formula>
    </cfRule>
  </conditionalFormatting>
  <conditionalFormatting sqref="B27:F27">
    <cfRule type="expression" dxfId="54" priority="9">
      <formula>MOD(ROW(),2)=0</formula>
    </cfRule>
  </conditionalFormatting>
  <conditionalFormatting sqref="A28:A29">
    <cfRule type="expression" dxfId="53" priority="8">
      <formula>MOD(ROW(),2)=0</formula>
    </cfRule>
  </conditionalFormatting>
  <conditionalFormatting sqref="A27">
    <cfRule type="expression" dxfId="52" priority="7">
      <formula>MOD(ROW(),2)=0</formula>
    </cfRule>
  </conditionalFormatting>
  <conditionalFormatting sqref="B14">
    <cfRule type="expression" dxfId="51" priority="6">
      <formula>MOD(ROW(),2)=0</formula>
    </cfRule>
  </conditionalFormatting>
  <conditionalFormatting sqref="A25:B25">
    <cfRule type="expression" dxfId="50" priority="5">
      <formula>MOD(ROW(),2)=0</formula>
    </cfRule>
  </conditionalFormatting>
  <conditionalFormatting sqref="A30">
    <cfRule type="expression" dxfId="49" priority="4">
      <formula>MOD(ROW(),2)=0</formula>
    </cfRule>
  </conditionalFormatting>
  <conditionalFormatting sqref="A30">
    <cfRule type="expression" dxfId="48" priority="3">
      <formula>MOD(ROW(),2)=0</formula>
    </cfRule>
  </conditionalFormatting>
  <conditionalFormatting sqref="G28:G30 G3:G26">
    <cfRule type="expression" dxfId="47" priority="2">
      <formula>MOD(ROW(),2)=0</formula>
    </cfRule>
  </conditionalFormatting>
  <conditionalFormatting sqref="G27">
    <cfRule type="expression" dxfId="46" priority="1">
      <formula>MOD(ROW(),2)=0</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92D050"/>
    <pageSetUpPr fitToPage="1"/>
  </sheetPr>
  <dimension ref="A1:L92"/>
  <sheetViews>
    <sheetView workbookViewId="0"/>
  </sheetViews>
  <sheetFormatPr defaultRowHeight="15" x14ac:dyDescent="0.25"/>
  <cols>
    <col min="1" max="1" width="40.85546875" style="8" customWidth="1"/>
    <col min="2" max="2" width="9.140625" style="8"/>
    <col min="3" max="6" width="9.5703125" style="8" bestFit="1" customWidth="1"/>
    <col min="7" max="7" width="9.5703125" style="8" customWidth="1"/>
    <col min="8" max="10" width="14.5703125" style="95" customWidth="1"/>
    <col min="11" max="11" width="36.5703125" bestFit="1" customWidth="1"/>
    <col min="12" max="12" width="187.7109375" bestFit="1" customWidth="1"/>
  </cols>
  <sheetData>
    <row r="1" spans="1:12" ht="30" x14ac:dyDescent="0.25">
      <c r="A1" s="244" t="s">
        <v>152</v>
      </c>
      <c r="B1" s="245" t="s">
        <v>1</v>
      </c>
      <c r="C1" s="245" t="str">
        <f>+'Output Table'!C1</f>
        <v>2014-15</v>
      </c>
      <c r="D1" s="245" t="str">
        <f>+'Output Table'!D1</f>
        <v>2015-16</v>
      </c>
      <c r="E1" s="245" t="str">
        <f>+'Output Table'!E1</f>
        <v>2016-17</v>
      </c>
      <c r="F1" s="245" t="str">
        <f>+'Output Table'!F1</f>
        <v>2017-18</v>
      </c>
      <c r="G1" s="245" t="str">
        <f>+'Output Table'!G1</f>
        <v>2018-19e</v>
      </c>
      <c r="H1" s="247" t="s">
        <v>136</v>
      </c>
      <c r="I1" s="247" t="s">
        <v>428</v>
      </c>
      <c r="J1" s="247" t="s">
        <v>422</v>
      </c>
      <c r="K1" s="248" t="s">
        <v>15</v>
      </c>
      <c r="L1" s="249" t="s">
        <v>16</v>
      </c>
    </row>
    <row r="2" spans="1:12" x14ac:dyDescent="0.25">
      <c r="A2" s="250" t="s">
        <v>133</v>
      </c>
      <c r="B2" s="72" t="s">
        <v>11</v>
      </c>
      <c r="C2" s="303">
        <f t="shared" ref="C2" si="0">SUM(C3,C7,C11,C15,C19,C23,C27,C31)</f>
        <v>1543.4466649999999</v>
      </c>
      <c r="D2" s="303">
        <f>SUM(D3,D7,D11,D15,D19,D23,D27,D31)</f>
        <v>1639.9070360000001</v>
      </c>
      <c r="E2" s="303">
        <f t="shared" ref="E2:F2" si="1">SUM(E3,E7,E11,E15,E19,E23,E27,E31)</f>
        <v>2757.9852600000004</v>
      </c>
      <c r="F2" s="304">
        <f t="shared" si="1"/>
        <v>1139.2215269999999</v>
      </c>
      <c r="G2" s="304">
        <f t="shared" ref="G2" si="2">SUM(G3,G7,G11,G15,G19,G23,G27,G31)</f>
        <v>191.70262200000002</v>
      </c>
      <c r="H2" s="126">
        <f t="shared" ref="H2:H33" si="3">IF(ISBLANK(G2),"N/A",IF(ISNA(G2/F2-1),"N/A",IF(ISERROR(G2/F2-1),"N/A",G2/F2-1)))</f>
        <v>-0.83172489506511926</v>
      </c>
      <c r="I2" s="310">
        <f>IF(ISBLANK(G2),"",IF(ISNA(AVERAGE(C2:G2)),"N/A",IF(ISERROR(AVERAGE(C2:G2)),"N/A",AVERAGE(C2:G2))))</f>
        <v>1454.452622</v>
      </c>
      <c r="J2" s="126">
        <f>IF(ISBLANK(G2),"",IF(ISNA(G2/AVERAGE(C2:G2)-1),"N/A",IF(ISERROR(G2/AVERAGE(C2:G2)-1),"N/A",G2/AVERAGE(C2:G2)-1)))</f>
        <v>-0.86819603533294054</v>
      </c>
      <c r="K2" s="76"/>
      <c r="L2" s="251"/>
    </row>
    <row r="3" spans="1:12" x14ac:dyDescent="0.25">
      <c r="A3" s="252" t="s">
        <v>65</v>
      </c>
      <c r="B3" s="77" t="s">
        <v>11</v>
      </c>
      <c r="C3" s="300">
        <f>Wheat!D7</f>
        <v>489.43635799999998</v>
      </c>
      <c r="D3" s="300">
        <f>Wheat!E7</f>
        <v>453.273753</v>
      </c>
      <c r="E3" s="300">
        <f>Wheat!F7</f>
        <v>1189.6553739999999</v>
      </c>
      <c r="F3" s="305">
        <f>Wheat!G7</f>
        <v>491.47424599999999</v>
      </c>
      <c r="G3" s="305">
        <f>Wheat!H7</f>
        <v>94.138112000000007</v>
      </c>
      <c r="H3" s="120">
        <f t="shared" si="3"/>
        <v>-0.80845769078203134</v>
      </c>
      <c r="I3" s="311">
        <f t="shared" ref="I3:I70" si="4">IF(ISBLANK(G3),"",IF(ISNA(AVERAGE(C3:G3)),"N/A",IF(ISERROR(AVERAGE(C3:G3)),"N/A",AVERAGE(C3:G3))))</f>
        <v>543.59556859999998</v>
      </c>
      <c r="J3" s="120">
        <f t="shared" ref="J3:J33" si="5">IF(ISBLANK(G3),"",IF(ISNA(G3/AVERAGE(C3:G3)-1),"N/A",IF(ISERROR(G3/AVERAGE(C3:G3)-1),"N/A",G3/AVERAGE(C3:G3)-1)))</f>
        <v>-0.82682325346682384</v>
      </c>
      <c r="K3" s="79" t="str">
        <f>Wheat!L7</f>
        <v>GTA (2019)</v>
      </c>
      <c r="L3" s="253" t="str">
        <f>Wheat!M7</f>
        <v>IHS Global Trade Atlas (GTA) (2019). Unpublished trade data accessed via subscription service. Last Accessed September 2019.</v>
      </c>
    </row>
    <row r="4" spans="1:12" x14ac:dyDescent="0.25">
      <c r="A4" s="284" t="str">
        <f>Wheat!B8</f>
        <v>Vietnam</v>
      </c>
      <c r="B4" s="77" t="s">
        <v>11</v>
      </c>
      <c r="C4" s="300">
        <f>Wheat!D8</f>
        <v>38.136888999999996</v>
      </c>
      <c r="D4" s="300">
        <f>Wheat!E8</f>
        <v>38.154375000000002</v>
      </c>
      <c r="E4" s="300">
        <f>Wheat!F8</f>
        <v>128.532937</v>
      </c>
      <c r="F4" s="305">
        <f>Wheat!G8</f>
        <v>111.53571100000001</v>
      </c>
      <c r="G4" s="305">
        <f>Wheat!H8</f>
        <v>20.168037999999999</v>
      </c>
      <c r="H4" s="120">
        <f t="shared" si="3"/>
        <v>-0.81917864853167965</v>
      </c>
      <c r="I4" s="311">
        <f t="shared" si="4"/>
        <v>67.305590000000009</v>
      </c>
      <c r="J4" s="120">
        <f t="shared" si="5"/>
        <v>-0.70035121897007369</v>
      </c>
      <c r="K4" s="79" t="str">
        <f>Wheat!L8</f>
        <v>GTA (2019)</v>
      </c>
      <c r="L4" s="253" t="str">
        <f>Wheat!M8</f>
        <v>IHS Global Trade Atlas (GTA) (2019). Unpublished trade data accessed via subscription service. Last Accessed September 2019.</v>
      </c>
    </row>
    <row r="5" spans="1:12" x14ac:dyDescent="0.25">
      <c r="A5" s="284" t="str">
        <f>Wheat!B9</f>
        <v>New Zealand</v>
      </c>
      <c r="B5" s="77" t="s">
        <v>11</v>
      </c>
      <c r="C5" s="300">
        <f>Wheat!D9</f>
        <v>29.328144000000002</v>
      </c>
      <c r="D5" s="300">
        <f>Wheat!E9</f>
        <v>29.408694000000001</v>
      </c>
      <c r="E5" s="300">
        <f>Wheat!F9</f>
        <v>21.377863999999999</v>
      </c>
      <c r="F5" s="305">
        <f>Wheat!G9</f>
        <v>22.825697000000002</v>
      </c>
      <c r="G5" s="305">
        <f>Wheat!H9</f>
        <v>13.515321</v>
      </c>
      <c r="H5" s="120">
        <f t="shared" si="3"/>
        <v>-0.40789010736451992</v>
      </c>
      <c r="I5" s="311">
        <f t="shared" si="4"/>
        <v>23.291144000000003</v>
      </c>
      <c r="J5" s="120">
        <f t="shared" si="5"/>
        <v>-0.41972274955665556</v>
      </c>
      <c r="K5" s="79" t="str">
        <f>Wheat!L9</f>
        <v>GTA (2019)</v>
      </c>
      <c r="L5" s="253" t="str">
        <f>Wheat!M9</f>
        <v>IHS Global Trade Atlas (GTA) (2019). Unpublished trade data accessed via subscription service. Last Accessed September 2019.</v>
      </c>
    </row>
    <row r="6" spans="1:12" x14ac:dyDescent="0.25">
      <c r="A6" s="284" t="str">
        <f>Wheat!B10</f>
        <v>Japan</v>
      </c>
      <c r="B6" s="77" t="s">
        <v>11</v>
      </c>
      <c r="C6" s="300">
        <f>Wheat!D10</f>
        <v>5.1192669999999998</v>
      </c>
      <c r="D6" s="300">
        <f>Wheat!E10</f>
        <v>0.77992499999999998</v>
      </c>
      <c r="E6" s="300">
        <f>Wheat!F10</f>
        <v>2.7664119999999999</v>
      </c>
      <c r="F6" s="305">
        <f>Wheat!G10</f>
        <v>9.8129139999999992</v>
      </c>
      <c r="G6" s="305">
        <f>Wheat!H10</f>
        <v>21.525977000000001</v>
      </c>
      <c r="H6" s="120">
        <f t="shared" si="3"/>
        <v>1.1936375881822672</v>
      </c>
      <c r="I6" s="311">
        <f t="shared" si="4"/>
        <v>8.0008990000000004</v>
      </c>
      <c r="J6" s="120">
        <f t="shared" si="5"/>
        <v>1.6904447862671432</v>
      </c>
      <c r="K6" s="79" t="str">
        <f>Wheat!L10</f>
        <v>GTA (2019)</v>
      </c>
      <c r="L6" s="253" t="str">
        <f>Wheat!M10</f>
        <v>IHS Global Trade Atlas (GTA) (2019). Unpublished trade data accessed via subscription service. Last Accessed September 2019.</v>
      </c>
    </row>
    <row r="7" spans="1:12" ht="17.25" x14ac:dyDescent="0.25">
      <c r="A7" s="252" t="s">
        <v>547</v>
      </c>
      <c r="B7" s="77" t="s">
        <v>11</v>
      </c>
      <c r="C7" s="300">
        <f>Barley!D7</f>
        <v>0</v>
      </c>
      <c r="D7" s="300">
        <f>Barley!E7</f>
        <v>1.7000000000000001E-2</v>
      </c>
      <c r="E7" s="300">
        <f>Barley!F7</f>
        <v>7.6761999999999997E-2</v>
      </c>
      <c r="F7" s="305">
        <f>Barley!G7</f>
        <v>0</v>
      </c>
      <c r="G7" s="305">
        <f>Barley!H7</f>
        <v>0.21820300000000001</v>
      </c>
      <c r="H7" s="120" t="str">
        <f t="shared" si="3"/>
        <v>N/A</v>
      </c>
      <c r="I7" s="311">
        <f t="shared" si="4"/>
        <v>6.2392999999999997E-2</v>
      </c>
      <c r="J7" s="120">
        <f t="shared" si="5"/>
        <v>2.4972352667767219</v>
      </c>
      <c r="K7" s="79" t="str">
        <f>Barley!L7</f>
        <v>GTA (2019)</v>
      </c>
      <c r="L7" s="253" t="str">
        <f>Barley!M7</f>
        <v>IHS Global Trade Atlas (GTA) (2019). Unpublished trade data accessed via subscription service. Last Accessed September 2019.</v>
      </c>
    </row>
    <row r="8" spans="1:12" x14ac:dyDescent="0.25">
      <c r="A8" s="284" t="str">
        <f>Barley!B8</f>
        <v>Philippines</v>
      </c>
      <c r="B8" s="77" t="s">
        <v>11</v>
      </c>
      <c r="C8" s="300">
        <f>Barley!D8</f>
        <v>0</v>
      </c>
      <c r="D8" s="300">
        <f>Barley!E8</f>
        <v>0</v>
      </c>
      <c r="E8" s="300">
        <f>Barley!F8</f>
        <v>0</v>
      </c>
      <c r="F8" s="305">
        <f>Barley!G8</f>
        <v>0</v>
      </c>
      <c r="G8" s="305">
        <f>Barley!H8</f>
        <v>0.15563399999999999</v>
      </c>
      <c r="H8" s="120" t="str">
        <f t="shared" si="3"/>
        <v>N/A</v>
      </c>
      <c r="I8" s="311">
        <f t="shared" si="4"/>
        <v>3.11268E-2</v>
      </c>
      <c r="J8" s="120">
        <f t="shared" si="5"/>
        <v>4</v>
      </c>
      <c r="K8" s="79" t="str">
        <f>Barley!L8</f>
        <v>GTA (2019)</v>
      </c>
      <c r="L8" s="253" t="str">
        <f>Barley!M8</f>
        <v>IHS Global Trade Atlas (GTA) (2019). Unpublished trade data accessed via subscription service. Last Accessed September 2019.</v>
      </c>
    </row>
    <row r="9" spans="1:12" x14ac:dyDescent="0.25">
      <c r="A9" s="284" t="str">
        <f>Barley!B9</f>
        <v>Republic of Korea</v>
      </c>
      <c r="B9" s="77" t="s">
        <v>11</v>
      </c>
      <c r="C9" s="300">
        <f>Barley!D9</f>
        <v>0</v>
      </c>
      <c r="D9" s="300">
        <f>Barley!E9</f>
        <v>0</v>
      </c>
      <c r="E9" s="300">
        <f>Barley!F9</f>
        <v>0</v>
      </c>
      <c r="F9" s="305">
        <f>Barley!G9</f>
        <v>0</v>
      </c>
      <c r="G9" s="305">
        <f>Barley!H9</f>
        <v>3.9012999999999999E-2</v>
      </c>
      <c r="H9" s="120" t="str">
        <f t="shared" si="3"/>
        <v>N/A</v>
      </c>
      <c r="I9" s="311">
        <f t="shared" si="4"/>
        <v>7.8025999999999998E-3</v>
      </c>
      <c r="J9" s="120">
        <f t="shared" si="5"/>
        <v>4</v>
      </c>
      <c r="K9" s="79" t="str">
        <f>Barley!L9</f>
        <v>GTA (2019)</v>
      </c>
      <c r="L9" s="253" t="str">
        <f>Barley!M9</f>
        <v>IHS Global Trade Atlas (GTA) (2019). Unpublished trade data accessed via subscription service. Last Accessed September 2019.</v>
      </c>
    </row>
    <row r="10" spans="1:12" x14ac:dyDescent="0.25">
      <c r="A10" s="284" t="str">
        <f>Barley!B10</f>
        <v>Singapore</v>
      </c>
      <c r="B10" s="77" t="s">
        <v>11</v>
      </c>
      <c r="C10" s="300">
        <f>Barley!D10</f>
        <v>0</v>
      </c>
      <c r="D10" s="300">
        <f>Barley!E10</f>
        <v>0</v>
      </c>
      <c r="E10" s="300">
        <f>Barley!F10</f>
        <v>0</v>
      </c>
      <c r="F10" s="305">
        <f>Barley!G10</f>
        <v>0</v>
      </c>
      <c r="G10" s="305">
        <f>Barley!H10</f>
        <v>1.6333E-2</v>
      </c>
      <c r="H10" s="120" t="str">
        <f t="shared" si="3"/>
        <v>N/A</v>
      </c>
      <c r="I10" s="311">
        <f t="shared" si="4"/>
        <v>3.2666000000000001E-3</v>
      </c>
      <c r="J10" s="120">
        <f t="shared" si="5"/>
        <v>4</v>
      </c>
      <c r="K10" s="79" t="str">
        <f>Barley!L10</f>
        <v>GTA (2019)</v>
      </c>
      <c r="L10" s="253" t="str">
        <f>Barley!M10</f>
        <v>IHS Global Trade Atlas (GTA) (2019). Unpublished trade data accessed via subscription service. Last Accessed September 2019.</v>
      </c>
    </row>
    <row r="11" spans="1:12" x14ac:dyDescent="0.25">
      <c r="A11" s="252" t="s">
        <v>67</v>
      </c>
      <c r="B11" s="77" t="s">
        <v>11</v>
      </c>
      <c r="C11" s="300">
        <f>Rice!D7</f>
        <v>42.900004000000003</v>
      </c>
      <c r="D11" s="300">
        <f>Rice!E7</f>
        <v>23.080696</v>
      </c>
      <c r="E11" s="300">
        <f>Rice!F7</f>
        <v>35.553553000000001</v>
      </c>
      <c r="F11" s="305">
        <f>Rice!G7</f>
        <v>43.562081999999997</v>
      </c>
      <c r="G11" s="305">
        <f>Rice!H7</f>
        <v>14.767956999999999</v>
      </c>
      <c r="H11" s="120">
        <f t="shared" si="3"/>
        <v>-0.66099056055217931</v>
      </c>
      <c r="I11" s="311">
        <f t="shared" si="4"/>
        <v>31.9728584</v>
      </c>
      <c r="J11" s="120">
        <f t="shared" si="5"/>
        <v>-0.53810957984288321</v>
      </c>
      <c r="K11" s="79" t="str">
        <f>Rice!L7</f>
        <v>GTA (2019)</v>
      </c>
      <c r="L11" s="253" t="str">
        <f>Rice!M7</f>
        <v>IHS Global Trade Atlas (GTA) (2019). Unpublished trade data accessed via subscription service. Last Accessed September 2019.</v>
      </c>
    </row>
    <row r="12" spans="1:12" x14ac:dyDescent="0.25">
      <c r="A12" s="284" t="str">
        <f>Rice!B8</f>
        <v>Unidentified Country</v>
      </c>
      <c r="B12" s="77" t="s">
        <v>11</v>
      </c>
      <c r="C12" s="300">
        <f>Rice!D8</f>
        <v>42.896842999999997</v>
      </c>
      <c r="D12" s="300">
        <f>Rice!E8</f>
        <v>23.080696</v>
      </c>
      <c r="E12" s="300">
        <f>Rice!F8</f>
        <v>35.544966000000002</v>
      </c>
      <c r="F12" s="305">
        <f>Rice!G8</f>
        <v>43.538865000000001</v>
      </c>
      <c r="G12" s="305">
        <f>Rice!H8</f>
        <v>14.142956999999999</v>
      </c>
      <c r="H12" s="120">
        <f t="shared" si="3"/>
        <v>-0.67516477519567863</v>
      </c>
      <c r="I12" s="311">
        <f t="shared" si="4"/>
        <v>31.840865400000002</v>
      </c>
      <c r="J12" s="120">
        <f t="shared" si="5"/>
        <v>-0.55582372456497375</v>
      </c>
      <c r="K12" s="79" t="str">
        <f>Rice!L8</f>
        <v>GTA (2019)</v>
      </c>
      <c r="L12" s="253" t="str">
        <f>Rice!M8</f>
        <v>IHS Global Trade Atlas (GTA) (2019). Unpublished trade data accessed via subscription service. Last Accessed September 2019.</v>
      </c>
    </row>
    <row r="13" spans="1:12" x14ac:dyDescent="0.25">
      <c r="A13" s="284" t="str">
        <f>Rice!B9</f>
        <v>Papua New Guinea</v>
      </c>
      <c r="B13" s="77" t="s">
        <v>11</v>
      </c>
      <c r="C13" s="300">
        <f>Rice!D9</f>
        <v>3.1610000000000002E-3</v>
      </c>
      <c r="D13" s="300">
        <f>Rice!E9</f>
        <v>0</v>
      </c>
      <c r="E13" s="300">
        <f>Rice!F9</f>
        <v>8.5869999999999991E-3</v>
      </c>
      <c r="F13" s="305">
        <f>Rice!G9</f>
        <v>2.3217000000000002E-2</v>
      </c>
      <c r="G13" s="305">
        <f>Rice!H9</f>
        <v>0.625</v>
      </c>
      <c r="H13" s="120">
        <f t="shared" si="3"/>
        <v>25.919929362105353</v>
      </c>
      <c r="I13" s="311">
        <f t="shared" si="4"/>
        <v>0.131993</v>
      </c>
      <c r="J13" s="120">
        <f t="shared" si="5"/>
        <v>3.7350995886145482</v>
      </c>
      <c r="K13" s="79" t="str">
        <f>Rice!L9</f>
        <v>GTA (2019)</v>
      </c>
      <c r="L13" s="253" t="str">
        <f>Rice!M9</f>
        <v>IHS Global Trade Atlas (GTA) (2019). Unpublished trade data accessed via subscription service. Last Accessed September 2019.</v>
      </c>
    </row>
    <row r="14" spans="1:12" x14ac:dyDescent="0.25">
      <c r="A14" s="284" t="str">
        <f>Rice!B10</f>
        <v>New Zealand</v>
      </c>
      <c r="B14" s="77" t="s">
        <v>11</v>
      </c>
      <c r="C14" s="300">
        <f>Rice!D10</f>
        <v>0</v>
      </c>
      <c r="D14" s="300">
        <f>Rice!E10</f>
        <v>0</v>
      </c>
      <c r="E14" s="300">
        <f>Rice!F10</f>
        <v>0</v>
      </c>
      <c r="F14" s="305">
        <f>Rice!G10</f>
        <v>0</v>
      </c>
      <c r="G14" s="305">
        <f>Rice!H10</f>
        <v>0</v>
      </c>
      <c r="H14" s="120" t="str">
        <f t="shared" si="3"/>
        <v>N/A</v>
      </c>
      <c r="I14" s="311">
        <f t="shared" si="4"/>
        <v>0</v>
      </c>
      <c r="J14" s="120" t="str">
        <f t="shared" si="5"/>
        <v>N/A</v>
      </c>
      <c r="K14" s="79" t="str">
        <f>Rice!L10</f>
        <v>GTA (2019)</v>
      </c>
      <c r="L14" s="253" t="str">
        <f>Rice!M10</f>
        <v>IHS Global Trade Atlas (GTA) (2019). Unpublished trade data accessed via subscription service. Last Accessed September 2019.</v>
      </c>
    </row>
    <row r="15" spans="1:12" x14ac:dyDescent="0.25">
      <c r="A15" s="252" t="s">
        <v>68</v>
      </c>
      <c r="B15" s="77" t="s">
        <v>11</v>
      </c>
      <c r="C15" s="300">
        <f>Sorghum!D7</f>
        <v>31.991294</v>
      </c>
      <c r="D15" s="300">
        <f>Sorghum!E7</f>
        <v>64.994325000000003</v>
      </c>
      <c r="E15" s="300">
        <f>Sorghum!F7</f>
        <v>49.017704000000002</v>
      </c>
      <c r="F15" s="305">
        <f>Sorghum!G7</f>
        <v>55.497073</v>
      </c>
      <c r="G15" s="305">
        <f>Sorghum!H7</f>
        <v>5.5922729999999996</v>
      </c>
      <c r="H15" s="120">
        <f t="shared" si="3"/>
        <v>-0.89923301000036526</v>
      </c>
      <c r="I15" s="311">
        <f t="shared" si="4"/>
        <v>41.418533799999999</v>
      </c>
      <c r="J15" s="120">
        <f t="shared" si="5"/>
        <v>-0.86498138666608226</v>
      </c>
      <c r="K15" s="79" t="str">
        <f>Sorghum!L7</f>
        <v>GTA (2019)</v>
      </c>
      <c r="L15" s="253" t="str">
        <f>Sorghum!M7</f>
        <v>IHS Global Trade Atlas (GTA) (2019). Unpublished trade data accessed via subscription service. Last Accessed September 2019.</v>
      </c>
    </row>
    <row r="16" spans="1:12" x14ac:dyDescent="0.25">
      <c r="A16" s="284" t="str">
        <f>Sorghum!B8</f>
        <v>China</v>
      </c>
      <c r="B16" s="77" t="s">
        <v>11</v>
      </c>
      <c r="C16" s="300">
        <f>Sorghum!D8</f>
        <v>30.929219</v>
      </c>
      <c r="D16" s="300">
        <f>Sorghum!E8</f>
        <v>64.077583000000004</v>
      </c>
      <c r="E16" s="300">
        <f>Sorghum!F8</f>
        <v>48.305334999999999</v>
      </c>
      <c r="F16" s="305">
        <f>Sorghum!G8</f>
        <v>52.178266000000001</v>
      </c>
      <c r="G16" s="305">
        <f>Sorghum!H8</f>
        <v>5.1218830000000004</v>
      </c>
      <c r="H16" s="120">
        <f t="shared" si="3"/>
        <v>-0.90183876558872234</v>
      </c>
      <c r="I16" s="311">
        <f t="shared" si="4"/>
        <v>40.122457199999999</v>
      </c>
      <c r="J16" s="120">
        <f t="shared" si="5"/>
        <v>-0.87234373571716339</v>
      </c>
      <c r="K16" s="79" t="str">
        <f>Sorghum!L8</f>
        <v>GTA (2019)</v>
      </c>
      <c r="L16" s="253" t="str">
        <f>Sorghum!M8</f>
        <v>IHS Global Trade Atlas (GTA) (2019). Unpublished trade data accessed via subscription service. Last Accessed September 2019.</v>
      </c>
    </row>
    <row r="17" spans="1:12" x14ac:dyDescent="0.25">
      <c r="A17" s="284" t="str">
        <f>Sorghum!B9</f>
        <v>Taiwan</v>
      </c>
      <c r="B17" s="77" t="s">
        <v>11</v>
      </c>
      <c r="C17" s="300">
        <f>Sorghum!D9</f>
        <v>0.71318899999999996</v>
      </c>
      <c r="D17" s="300">
        <f>Sorghum!E9</f>
        <v>0.60552300000000003</v>
      </c>
      <c r="E17" s="300">
        <f>Sorghum!F9</f>
        <v>0.127946</v>
      </c>
      <c r="F17" s="305">
        <f>Sorghum!G9</f>
        <v>0.53920500000000005</v>
      </c>
      <c r="G17" s="305">
        <f>Sorghum!H9</f>
        <v>0.16303599999999999</v>
      </c>
      <c r="H17" s="120">
        <f t="shared" si="3"/>
        <v>-0.69763633497463862</v>
      </c>
      <c r="I17" s="311">
        <f t="shared" si="4"/>
        <v>0.42977980000000005</v>
      </c>
      <c r="J17" s="120">
        <f t="shared" si="5"/>
        <v>-0.62065225029189375</v>
      </c>
      <c r="K17" s="79" t="str">
        <f>Sorghum!L9</f>
        <v>GTA (2019)</v>
      </c>
      <c r="L17" s="253" t="str">
        <f>Sorghum!M9</f>
        <v>IHS Global Trade Atlas (GTA) (2019). Unpublished trade data accessed via subscription service. Last Accessed September 2019.</v>
      </c>
    </row>
    <row r="18" spans="1:12" x14ac:dyDescent="0.25">
      <c r="A18" s="284" t="str">
        <f>Sorghum!B10</f>
        <v>New Zealand</v>
      </c>
      <c r="B18" s="77" t="s">
        <v>11</v>
      </c>
      <c r="C18" s="300">
        <f>Sorghum!D10</f>
        <v>0</v>
      </c>
      <c r="D18" s="300">
        <f>Sorghum!E10</f>
        <v>0</v>
      </c>
      <c r="E18" s="300">
        <f>Sorghum!F10</f>
        <v>0</v>
      </c>
      <c r="F18" s="305">
        <f>Sorghum!G10</f>
        <v>0</v>
      </c>
      <c r="G18" s="305">
        <f>Sorghum!H10</f>
        <v>0.16</v>
      </c>
      <c r="H18" s="120" t="str">
        <f t="shared" si="3"/>
        <v>N/A</v>
      </c>
      <c r="I18" s="311">
        <f t="shared" si="4"/>
        <v>3.2000000000000001E-2</v>
      </c>
      <c r="J18" s="120">
        <f t="shared" si="5"/>
        <v>4</v>
      </c>
      <c r="K18" s="79" t="str">
        <f>Sorghum!L10</f>
        <v>GTA (2019)</v>
      </c>
      <c r="L18" s="253" t="str">
        <f>Sorghum!M10</f>
        <v>IHS Global Trade Atlas (GTA) (2019). Unpublished trade data accessed via subscription service. Last Accessed September 2019.</v>
      </c>
    </row>
    <row r="19" spans="1:12" x14ac:dyDescent="0.25">
      <c r="A19" s="252" t="s">
        <v>70</v>
      </c>
      <c r="B19" s="77" t="s">
        <v>11</v>
      </c>
      <c r="C19" s="300">
        <f>Pulses!D8</f>
        <v>169.22871499999999</v>
      </c>
      <c r="D19" s="300">
        <f>Pulses!E8</f>
        <v>366.13136300000002</v>
      </c>
      <c r="E19" s="300">
        <f>Pulses!F8</f>
        <v>531.664716</v>
      </c>
      <c r="F19" s="305">
        <f>Pulses!G8</f>
        <v>333.32132200000001</v>
      </c>
      <c r="G19" s="305">
        <f>Pulses!H8</f>
        <v>56.862020000000001</v>
      </c>
      <c r="H19" s="120">
        <f t="shared" si="3"/>
        <v>-0.82940779288040867</v>
      </c>
      <c r="I19" s="311">
        <f t="shared" si="4"/>
        <v>291.44162719999997</v>
      </c>
      <c r="J19" s="120">
        <f t="shared" si="5"/>
        <v>-0.80489396608749098</v>
      </c>
      <c r="K19" s="79" t="str">
        <f>Pulses!L8</f>
        <v>GTA (2019)</v>
      </c>
      <c r="L19" s="253" t="str">
        <f>Pulses!M8</f>
        <v>IHS Global Trade Atlas (GTA) (2019). Unpublished trade data accessed via subscription service. Last Accessed September 2019.</v>
      </c>
    </row>
    <row r="20" spans="1:12" x14ac:dyDescent="0.25">
      <c r="A20" s="284" t="str">
        <f>Pulses!B9</f>
        <v>Pakistan</v>
      </c>
      <c r="B20" s="77" t="s">
        <v>11</v>
      </c>
      <c r="C20" s="300">
        <f>Pulses!D9</f>
        <v>8.9987700000000004</v>
      </c>
      <c r="D20" s="300">
        <f>Pulses!E9</f>
        <v>50.954749999999997</v>
      </c>
      <c r="E20" s="300">
        <f>Pulses!F9</f>
        <v>155.818153</v>
      </c>
      <c r="F20" s="305">
        <f>Pulses!G9</f>
        <v>39.083433999999997</v>
      </c>
      <c r="G20" s="305">
        <f>Pulses!H9</f>
        <v>20.175578999999999</v>
      </c>
      <c r="H20" s="120">
        <f t="shared" si="3"/>
        <v>-0.48378182428903249</v>
      </c>
      <c r="I20" s="311">
        <f t="shared" si="4"/>
        <v>55.006137199999991</v>
      </c>
      <c r="J20" s="120">
        <f t="shared" si="5"/>
        <v>-0.63321221909034531</v>
      </c>
      <c r="K20" s="79" t="str">
        <f>Pulses!L9</f>
        <v>GTA (2019)</v>
      </c>
      <c r="L20" s="253" t="str">
        <f>Pulses!M9</f>
        <v>IHS Global Trade Atlas (GTA) (2019). Unpublished trade data accessed via subscription service. Last Accessed September 2019.</v>
      </c>
    </row>
    <row r="21" spans="1:12" x14ac:dyDescent="0.25">
      <c r="A21" s="284" t="str">
        <f>Pulses!B10</f>
        <v>Bangladesh</v>
      </c>
      <c r="B21" s="77" t="s">
        <v>11</v>
      </c>
      <c r="C21" s="300">
        <f>Pulses!D10</f>
        <v>54.589370000000002</v>
      </c>
      <c r="D21" s="300">
        <f>Pulses!E10</f>
        <v>58.073588999999998</v>
      </c>
      <c r="E21" s="300">
        <f>Pulses!F10</f>
        <v>44.183309999999999</v>
      </c>
      <c r="F21" s="305">
        <f>Pulses!G10</f>
        <v>64.648719999999997</v>
      </c>
      <c r="G21" s="305">
        <f>Pulses!H10</f>
        <v>14.817441000000001</v>
      </c>
      <c r="H21" s="120">
        <f t="shared" si="3"/>
        <v>-0.77080070572162906</v>
      </c>
      <c r="I21" s="311">
        <f t="shared" si="4"/>
        <v>47.262486000000003</v>
      </c>
      <c r="J21" s="120">
        <f t="shared" si="5"/>
        <v>-0.68648621234185603</v>
      </c>
      <c r="K21" s="79" t="str">
        <f>Pulses!L10</f>
        <v>GTA (2019)</v>
      </c>
      <c r="L21" s="253" t="str">
        <f>Pulses!M10</f>
        <v>IHS Global Trade Atlas (GTA) (2019). Unpublished trade data accessed via subscription service. Last Accessed September 2019.</v>
      </c>
    </row>
    <row r="22" spans="1:12" x14ac:dyDescent="0.25">
      <c r="A22" s="284" t="str">
        <f>Pulses!B11</f>
        <v>United Arab Emirates</v>
      </c>
      <c r="B22" s="77" t="s">
        <v>11</v>
      </c>
      <c r="C22" s="300">
        <f>Pulses!D11</f>
        <v>14.752725</v>
      </c>
      <c r="D22" s="300">
        <f>Pulses!E11</f>
        <v>20.045155999999999</v>
      </c>
      <c r="E22" s="300">
        <f>Pulses!F11</f>
        <v>21.102636</v>
      </c>
      <c r="F22" s="305">
        <f>Pulses!G11</f>
        <v>12.917771999999999</v>
      </c>
      <c r="G22" s="305">
        <f>Pulses!H11</f>
        <v>13.109811000000001</v>
      </c>
      <c r="H22" s="120">
        <f t="shared" si="3"/>
        <v>1.486626331537666E-2</v>
      </c>
      <c r="I22" s="311">
        <f t="shared" si="4"/>
        <v>16.385619999999999</v>
      </c>
      <c r="J22" s="120">
        <f t="shared" si="5"/>
        <v>-0.19991974670473245</v>
      </c>
      <c r="K22" s="79" t="str">
        <f>Pulses!L11</f>
        <v>GTA (2019)</v>
      </c>
      <c r="L22" s="253" t="str">
        <f>Pulses!M11</f>
        <v>IHS Global Trade Atlas (GTA) (2019). Unpublished trade data accessed via subscription service. Last Accessed September 2019.</v>
      </c>
    </row>
    <row r="23" spans="1:12" x14ac:dyDescent="0.25">
      <c r="A23" s="252" t="s">
        <v>69</v>
      </c>
      <c r="B23" s="77" t="s">
        <v>11</v>
      </c>
      <c r="C23" s="300">
        <f>Oilseeds!D8</f>
        <v>131.48335700000001</v>
      </c>
      <c r="D23" s="300">
        <f>Oilseeds!E8</f>
        <v>136.493942</v>
      </c>
      <c r="E23" s="300">
        <f>Oilseeds!F8</f>
        <v>217.11319700000001</v>
      </c>
      <c r="F23" s="305">
        <f>Oilseeds!G8</f>
        <v>36.725349999999999</v>
      </c>
      <c r="G23" s="305">
        <f>Oilseeds!H8</f>
        <v>18.198782999999999</v>
      </c>
      <c r="H23" s="120">
        <f t="shared" si="3"/>
        <v>-0.50446263956640314</v>
      </c>
      <c r="I23" s="311">
        <f t="shared" si="4"/>
        <v>108.00292580000003</v>
      </c>
      <c r="J23" s="120">
        <f t="shared" si="5"/>
        <v>-0.83149731486255729</v>
      </c>
      <c r="K23" s="79" t="str">
        <f>Oilseeds!L8</f>
        <v>GTA (2019)</v>
      </c>
      <c r="L23" s="253" t="str">
        <f>Oilseeds!M8</f>
        <v>IHS Global Trade Atlas (GTA) (2019). Unpublished trade data accessed via subscription service. Last Accessed September 2019.</v>
      </c>
    </row>
    <row r="24" spans="1:12" x14ac:dyDescent="0.25">
      <c r="A24" s="284" t="str">
        <f>Oilseeds!B9</f>
        <v>China</v>
      </c>
      <c r="B24" s="77" t="s">
        <v>11</v>
      </c>
      <c r="C24" s="300">
        <f>Oilseeds!D9</f>
        <v>2.6271010000000001</v>
      </c>
      <c r="D24" s="300">
        <f>Oilseeds!E9</f>
        <v>5.7792130000000004</v>
      </c>
      <c r="E24" s="300">
        <f>Oilseeds!F9</f>
        <v>23.594557999999999</v>
      </c>
      <c r="F24" s="305">
        <f>Oilseeds!G9</f>
        <v>24.085819000000001</v>
      </c>
      <c r="G24" s="305">
        <f>Oilseeds!H9</f>
        <v>10.321704</v>
      </c>
      <c r="H24" s="120">
        <f t="shared" si="3"/>
        <v>-0.57146136488030574</v>
      </c>
      <c r="I24" s="311">
        <f t="shared" si="4"/>
        <v>13.281679</v>
      </c>
      <c r="J24" s="120">
        <f t="shared" si="5"/>
        <v>-0.22286150719348052</v>
      </c>
      <c r="K24" s="79" t="str">
        <f>Oilseeds!L9</f>
        <v>GTA (2019)</v>
      </c>
      <c r="L24" s="253" t="str">
        <f>Oilseeds!M9</f>
        <v>IHS Global Trade Atlas (GTA) (2019). Unpublished trade data accessed via subscription service. Last Accessed September 2019.</v>
      </c>
    </row>
    <row r="25" spans="1:12" x14ac:dyDescent="0.25">
      <c r="A25" s="284" t="str">
        <f>Oilseeds!B10</f>
        <v>Japan</v>
      </c>
      <c r="B25" s="77" t="s">
        <v>11</v>
      </c>
      <c r="C25" s="300">
        <f>Oilseeds!D10</f>
        <v>7.4160430000000002</v>
      </c>
      <c r="D25" s="300">
        <f>Oilseeds!E10</f>
        <v>12.315464</v>
      </c>
      <c r="E25" s="300">
        <f>Oilseeds!F10</f>
        <v>4.0281520000000004</v>
      </c>
      <c r="F25" s="305">
        <f>Oilseeds!G10</f>
        <v>2.8714230000000001</v>
      </c>
      <c r="G25" s="305">
        <f>Oilseeds!H10</f>
        <v>2.5333139999999998</v>
      </c>
      <c r="H25" s="120">
        <f t="shared" si="3"/>
        <v>-0.1177496314545089</v>
      </c>
      <c r="I25" s="311">
        <f t="shared" si="4"/>
        <v>5.8328791999999998</v>
      </c>
      <c r="J25" s="120">
        <f t="shared" si="5"/>
        <v>-0.56568378786243345</v>
      </c>
      <c r="K25" s="79" t="str">
        <f>Oilseeds!L10</f>
        <v>GTA (2019)</v>
      </c>
      <c r="L25" s="253" t="str">
        <f>Oilseeds!M10</f>
        <v>IHS Global Trade Atlas (GTA) (2019). Unpublished trade data accessed via subscription service. Last Accessed September 2019.</v>
      </c>
    </row>
    <row r="26" spans="1:12" x14ac:dyDescent="0.25">
      <c r="A26" s="284" t="str">
        <f>Oilseeds!B11</f>
        <v>Saudi Arabia</v>
      </c>
      <c r="B26" s="77" t="s">
        <v>11</v>
      </c>
      <c r="C26" s="300">
        <f>Oilseeds!D11</f>
        <v>5.5904030000000002</v>
      </c>
      <c r="D26" s="300">
        <f>Oilseeds!E11</f>
        <v>7.1237399999999997</v>
      </c>
      <c r="E26" s="300">
        <f>Oilseeds!F11</f>
        <v>5.742102</v>
      </c>
      <c r="F26" s="305">
        <f>Oilseeds!G11</f>
        <v>0.44026700000000002</v>
      </c>
      <c r="G26" s="305">
        <f>Oilseeds!H11</f>
        <v>2.1445439999999998</v>
      </c>
      <c r="H26" s="120">
        <f t="shared" si="3"/>
        <v>3.8710078202545271</v>
      </c>
      <c r="I26" s="311">
        <f t="shared" si="4"/>
        <v>4.2082111999999992</v>
      </c>
      <c r="J26" s="120">
        <f t="shared" si="5"/>
        <v>-0.49039059636550553</v>
      </c>
      <c r="K26" s="79" t="str">
        <f>Oilseeds!L11</f>
        <v>GTA (2019)</v>
      </c>
      <c r="L26" s="253" t="str">
        <f>Oilseeds!M11</f>
        <v>IHS Global Trade Atlas (GTA) (2019). Unpublished trade data accessed via subscription service. Last Accessed September 2019.</v>
      </c>
    </row>
    <row r="27" spans="1:12" ht="17.25" x14ac:dyDescent="0.25">
      <c r="A27" s="285" t="s">
        <v>546</v>
      </c>
      <c r="B27" s="77" t="s">
        <v>11</v>
      </c>
      <c r="C27" s="300">
        <f>'Cotton Lint'!D7</f>
        <v>676.08422399999995</v>
      </c>
      <c r="D27" s="300">
        <f>'Cotton Lint'!E7</f>
        <v>592.83520999999996</v>
      </c>
      <c r="E27" s="300">
        <f>'Cotton Lint'!F7</f>
        <v>731.67857700000002</v>
      </c>
      <c r="F27" s="305">
        <f>'Cotton Lint'!G7</f>
        <v>177.05171200000001</v>
      </c>
      <c r="G27" s="305" t="str">
        <f>'Cotton Lint'!H7</f>
        <v>N/A</v>
      </c>
      <c r="H27" s="120" t="str">
        <f t="shared" si="3"/>
        <v>N/A</v>
      </c>
      <c r="I27" s="311">
        <f t="shared" si="4"/>
        <v>544.41243075</v>
      </c>
      <c r="J27" s="120" t="str">
        <f t="shared" si="5"/>
        <v>N/A</v>
      </c>
      <c r="K27" s="79" t="str">
        <f>'Cotton Lint'!L7</f>
        <v>GTA (2019)</v>
      </c>
      <c r="L27" s="253" t="str">
        <f>'Cotton Lint'!M7</f>
        <v>IHS Global Trade Atlas (GTA) (2019). Unpublished trade data accessed via subscription service. Last Accessed September 2019.</v>
      </c>
    </row>
    <row r="28" spans="1:12" x14ac:dyDescent="0.25">
      <c r="A28" s="284" t="str">
        <f>'Cotton Lint'!B8</f>
        <v>China</v>
      </c>
      <c r="B28" s="77" t="s">
        <v>11</v>
      </c>
      <c r="C28" s="300">
        <f>'Cotton Lint'!D8</f>
        <v>384.84454299999999</v>
      </c>
      <c r="D28" s="300">
        <f>'Cotton Lint'!E8</f>
        <v>334.690358</v>
      </c>
      <c r="E28" s="300">
        <f>'Cotton Lint'!F8</f>
        <v>228.01945599999999</v>
      </c>
      <c r="F28" s="305">
        <f>'Cotton Lint'!G8</f>
        <v>62.022759999999998</v>
      </c>
      <c r="G28" s="305" t="str">
        <f>'Cotton Lint'!H8</f>
        <v>N/A</v>
      </c>
      <c r="H28" s="120" t="str">
        <f t="shared" si="3"/>
        <v>N/A</v>
      </c>
      <c r="I28" s="311">
        <f t="shared" si="4"/>
        <v>252.39427924999998</v>
      </c>
      <c r="J28" s="120" t="str">
        <f t="shared" si="5"/>
        <v>N/A</v>
      </c>
      <c r="K28" s="79" t="str">
        <f>'Cotton Lint'!L8</f>
        <v>GTA (2019)</v>
      </c>
      <c r="L28" s="253" t="str">
        <f>'Cotton Lint'!M8</f>
        <v>IHS Global Trade Atlas (GTA) (2019). Unpublished trade data accessed via subscription service. Last Accessed September 2019.</v>
      </c>
    </row>
    <row r="29" spans="1:12" x14ac:dyDescent="0.25">
      <c r="A29" s="284" t="str">
        <f>'Cotton Lint'!B9</f>
        <v>Bangladesh</v>
      </c>
      <c r="B29" s="77" t="s">
        <v>11</v>
      </c>
      <c r="C29" s="300">
        <f>'Cotton Lint'!D9</f>
        <v>21.603069999999999</v>
      </c>
      <c r="D29" s="300">
        <f>'Cotton Lint'!E9</f>
        <v>17.920755</v>
      </c>
      <c r="E29" s="300">
        <f>'Cotton Lint'!F9</f>
        <v>83.618769</v>
      </c>
      <c r="F29" s="305">
        <f>'Cotton Lint'!G9</f>
        <v>25.63814</v>
      </c>
      <c r="G29" s="305" t="str">
        <f>'Cotton Lint'!H9</f>
        <v>N/A</v>
      </c>
      <c r="H29" s="120" t="str">
        <f t="shared" si="3"/>
        <v>N/A</v>
      </c>
      <c r="I29" s="311">
        <f t="shared" si="4"/>
        <v>37.195183499999999</v>
      </c>
      <c r="J29" s="120" t="str">
        <f t="shared" si="5"/>
        <v>N/A</v>
      </c>
      <c r="K29" s="79" t="str">
        <f>'Cotton Lint'!L9</f>
        <v>GTA (2019)</v>
      </c>
      <c r="L29" s="253" t="str">
        <f>'Cotton Lint'!M9</f>
        <v>IHS Global Trade Atlas (GTA) (2019). Unpublished trade data accessed via subscription service. Last Accessed September 2019.</v>
      </c>
    </row>
    <row r="30" spans="1:12" x14ac:dyDescent="0.25">
      <c r="A30" s="284" t="str">
        <f>'Cotton Lint'!B10</f>
        <v>Vietnam</v>
      </c>
      <c r="B30" s="77" t="s">
        <v>11</v>
      </c>
      <c r="C30" s="300">
        <f>'Cotton Lint'!D10</f>
        <v>68.038286999999997</v>
      </c>
      <c r="D30" s="300">
        <f>'Cotton Lint'!E10</f>
        <v>81.643620999999996</v>
      </c>
      <c r="E30" s="300">
        <f>'Cotton Lint'!F10</f>
        <v>99.741693999999995</v>
      </c>
      <c r="F30" s="305">
        <f>'Cotton Lint'!G10</f>
        <v>23.827693</v>
      </c>
      <c r="G30" s="305" t="str">
        <f>'Cotton Lint'!H10</f>
        <v>N/A</v>
      </c>
      <c r="H30" s="120" t="str">
        <f t="shared" si="3"/>
        <v>N/A</v>
      </c>
      <c r="I30" s="311">
        <f t="shared" si="4"/>
        <v>68.312823749999993</v>
      </c>
      <c r="J30" s="120" t="str">
        <f t="shared" si="5"/>
        <v>N/A</v>
      </c>
      <c r="K30" s="79" t="str">
        <f>'Cotton Lint'!L10</f>
        <v>GTA (2019)</v>
      </c>
      <c r="L30" s="253" t="str">
        <f>'Cotton Lint'!M10</f>
        <v>IHS Global Trade Atlas (GTA) (2019). Unpublished trade data accessed via subscription service. Last Accessed September 2019.</v>
      </c>
    </row>
    <row r="31" spans="1:12" x14ac:dyDescent="0.25">
      <c r="A31" s="252" t="s">
        <v>71</v>
      </c>
      <c r="B31" s="77" t="s">
        <v>11</v>
      </c>
      <c r="C31" s="300">
        <f>'Sugar Cane'!D7</f>
        <v>2.3227129999999998</v>
      </c>
      <c r="D31" s="300">
        <f>'Sugar Cane'!E7</f>
        <v>3.0807470000000001</v>
      </c>
      <c r="E31" s="300">
        <f>'Sugar Cane'!F7</f>
        <v>3.2253769999999999</v>
      </c>
      <c r="F31" s="305">
        <f>'Sugar Cane'!G7</f>
        <v>1.589742</v>
      </c>
      <c r="G31" s="305">
        <f>'Sugar Cane'!H7</f>
        <v>1.9252739999999999</v>
      </c>
      <c r="H31" s="120">
        <f t="shared" si="3"/>
        <v>0.21106066267356582</v>
      </c>
      <c r="I31" s="311">
        <f t="shared" si="4"/>
        <v>2.4287706</v>
      </c>
      <c r="J31" s="120">
        <f t="shared" si="5"/>
        <v>-0.20730512795238876</v>
      </c>
      <c r="K31" s="79" t="str">
        <f>'Sugar Cane'!L7</f>
        <v>GTA (2019)</v>
      </c>
      <c r="L31" s="253" t="str">
        <f>'Sugar Cane'!M7</f>
        <v>IHS Global Trade Atlas (GTA) (2019). Unpublished trade data accessed via subscription service. Last Accessed September 2019.</v>
      </c>
    </row>
    <row r="32" spans="1:12" x14ac:dyDescent="0.25">
      <c r="A32" s="284" t="str">
        <f>'Sugar Cane'!B8</f>
        <v>Papua New Guinea</v>
      </c>
      <c r="B32" s="77" t="s">
        <v>11</v>
      </c>
      <c r="C32" s="300">
        <f>'Sugar Cane'!D8</f>
        <v>0.283725</v>
      </c>
      <c r="D32" s="300">
        <f>'Sugar Cane'!E8</f>
        <v>0.124074</v>
      </c>
      <c r="E32" s="300">
        <f>'Sugar Cane'!F8</f>
        <v>0.13613900000000001</v>
      </c>
      <c r="F32" s="305">
        <f>'Sugar Cane'!G8</f>
        <v>4.8055E-2</v>
      </c>
      <c r="G32" s="305">
        <f>'Sugar Cane'!H8</f>
        <v>0.67896599999999996</v>
      </c>
      <c r="H32" s="120">
        <f t="shared" si="3"/>
        <v>13.128935594631152</v>
      </c>
      <c r="I32" s="311">
        <f t="shared" si="4"/>
        <v>0.25419179999999997</v>
      </c>
      <c r="J32" s="120">
        <f t="shared" si="5"/>
        <v>1.6710775091879442</v>
      </c>
      <c r="K32" s="79" t="str">
        <f>'Sugar Cane'!L8</f>
        <v>GTA (2019)</v>
      </c>
      <c r="L32" s="253" t="str">
        <f>'Sugar Cane'!M8</f>
        <v>IHS Global Trade Atlas (GTA) (2019). Unpublished trade data accessed via subscription service. Last Accessed September 2019.</v>
      </c>
    </row>
    <row r="33" spans="1:12" x14ac:dyDescent="0.25">
      <c r="A33" s="284" t="str">
        <f>'Sugar Cane'!B9</f>
        <v>New Zealand</v>
      </c>
      <c r="B33" s="77" t="s">
        <v>11</v>
      </c>
      <c r="C33" s="300">
        <f>'Sugar Cane'!D9</f>
        <v>0.42080699999999999</v>
      </c>
      <c r="D33" s="300">
        <f>'Sugar Cane'!E9</f>
        <v>1.632233</v>
      </c>
      <c r="E33" s="300">
        <f>'Sugar Cane'!F9</f>
        <v>1.400142</v>
      </c>
      <c r="F33" s="305">
        <f>'Sugar Cane'!G9</f>
        <v>0.34904499999999999</v>
      </c>
      <c r="G33" s="305">
        <f>'Sugar Cane'!H9</f>
        <v>0.35948400000000003</v>
      </c>
      <c r="H33" s="120">
        <f t="shared" si="3"/>
        <v>2.9907318540589367E-2</v>
      </c>
      <c r="I33" s="311">
        <f t="shared" si="4"/>
        <v>0.83234219999999992</v>
      </c>
      <c r="J33" s="120">
        <f t="shared" si="5"/>
        <v>-0.5681055219836264</v>
      </c>
      <c r="K33" s="79" t="str">
        <f>'Sugar Cane'!L9</f>
        <v>GTA (2019)</v>
      </c>
      <c r="L33" s="253" t="str">
        <f>'Sugar Cane'!M9</f>
        <v>IHS Global Trade Atlas (GTA) (2019). Unpublished trade data accessed via subscription service. Last Accessed September 2019.</v>
      </c>
    </row>
    <row r="34" spans="1:12" x14ac:dyDescent="0.25">
      <c r="A34" s="284" t="str">
        <f>'Sugar Cane'!B10</f>
        <v>Philippines</v>
      </c>
      <c r="B34" s="77" t="s">
        <v>11</v>
      </c>
      <c r="C34" s="300">
        <f>'Sugar Cane'!D10</f>
        <v>1.9900000000000001E-4</v>
      </c>
      <c r="D34" s="300">
        <f>'Sugar Cane'!E10</f>
        <v>9.8286999999999999E-2</v>
      </c>
      <c r="E34" s="300">
        <f>'Sugar Cane'!F10</f>
        <v>0.260494</v>
      </c>
      <c r="F34" s="305">
        <f>'Sugar Cane'!G10</f>
        <v>0.54203500000000004</v>
      </c>
      <c r="G34" s="305">
        <f>'Sugar Cane'!H10</f>
        <v>0.32985599999999998</v>
      </c>
      <c r="H34" s="120">
        <f t="shared" ref="H34:H69" si="6">IF(ISBLANK(G34),"N/A",IF(ISNA(G34/F34-1),"N/A",IF(ISERROR(G34/F34-1),"N/A",G34/F34-1)))</f>
        <v>-0.3914488916767368</v>
      </c>
      <c r="I34" s="311">
        <f t="shared" si="4"/>
        <v>0.24617420000000001</v>
      </c>
      <c r="J34" s="120">
        <f t="shared" ref="J34:J69" si="7">IF(ISBLANK(G34),"",IF(ISNA(G34/AVERAGE(C34:G34)-1),"N/A",IF(ISERROR(G34/AVERAGE(C34:G34)-1),"N/A",G34/AVERAGE(C34:G34)-1)))</f>
        <v>0.3399292046038942</v>
      </c>
      <c r="K34" s="79" t="str">
        <f>'Sugar Cane'!L10</f>
        <v>GTA (2019)</v>
      </c>
      <c r="L34" s="253" t="str">
        <f>'Sugar Cane'!M10</f>
        <v>IHS Global Trade Atlas (GTA) (2019). Unpublished trade data accessed via subscription service. Last Accessed September 2019.</v>
      </c>
    </row>
    <row r="35" spans="1:12" ht="17.25" x14ac:dyDescent="0.25">
      <c r="A35" s="250" t="s">
        <v>150</v>
      </c>
      <c r="B35" s="72" t="s">
        <v>11</v>
      </c>
      <c r="C35" s="306">
        <f t="shared" ref="C35:E35" si="8">SUM(C36)</f>
        <v>212.210058</v>
      </c>
      <c r="D35" s="306">
        <f t="shared" si="8"/>
        <v>239.83673999999999</v>
      </c>
      <c r="E35" s="306">
        <f t="shared" si="8"/>
        <v>325.40530799999999</v>
      </c>
      <c r="F35" s="307">
        <f>SUM(F36)</f>
        <v>364.95776999999998</v>
      </c>
      <c r="G35" s="307">
        <f>SUM(G36)</f>
        <v>458.22755100000001</v>
      </c>
      <c r="H35" s="126">
        <f t="shared" si="6"/>
        <v>0.25556321488921863</v>
      </c>
      <c r="I35" s="310">
        <f t="shared" si="4"/>
        <v>320.12748539999996</v>
      </c>
      <c r="J35" s="126">
        <f t="shared" si="7"/>
        <v>0.43139084239344117</v>
      </c>
      <c r="K35" s="79"/>
      <c r="L35" s="253"/>
    </row>
    <row r="36" spans="1:12" x14ac:dyDescent="0.25">
      <c r="A36" s="252" t="s">
        <v>119</v>
      </c>
      <c r="B36" s="77" t="s">
        <v>11</v>
      </c>
      <c r="C36" s="300">
        <f>Horticulture!D14</f>
        <v>212.210058</v>
      </c>
      <c r="D36" s="300">
        <f>Horticulture!E14</f>
        <v>239.83673999999999</v>
      </c>
      <c r="E36" s="300">
        <f>Horticulture!F14</f>
        <v>325.40530799999999</v>
      </c>
      <c r="F36" s="305">
        <f>Horticulture!G14</f>
        <v>364.95776999999998</v>
      </c>
      <c r="G36" s="305">
        <f>Horticulture!H14</f>
        <v>458.22755100000001</v>
      </c>
      <c r="H36" s="120">
        <f t="shared" si="6"/>
        <v>0.25556321488921863</v>
      </c>
      <c r="I36" s="311">
        <f t="shared" si="4"/>
        <v>320.12748539999996</v>
      </c>
      <c r="J36" s="120">
        <f t="shared" si="7"/>
        <v>0.43139084239344117</v>
      </c>
      <c r="K36" s="79" t="str">
        <f>Horticulture!L14</f>
        <v>GTA (2019)</v>
      </c>
      <c r="L36" s="253" t="str">
        <f>Horticulture!M14</f>
        <v>IHS Global Trade Atlas (GTA) (2019). Unpublished trade data accessed via subscription service. Last Accessed September 2019.</v>
      </c>
    </row>
    <row r="37" spans="1:12" x14ac:dyDescent="0.25">
      <c r="A37" s="284" t="str">
        <f>Horticulture!B15</f>
        <v>China</v>
      </c>
      <c r="B37" s="77" t="s">
        <v>11</v>
      </c>
      <c r="C37" s="300">
        <f>Horticulture!D15</f>
        <v>19.642854</v>
      </c>
      <c r="D37" s="300">
        <f>Horticulture!E15</f>
        <v>20.670031999999999</v>
      </c>
      <c r="E37" s="300">
        <f>Horticulture!F15</f>
        <v>43.541547999999999</v>
      </c>
      <c r="F37" s="305">
        <f>Horticulture!G15</f>
        <v>65.436750000000004</v>
      </c>
      <c r="G37" s="305">
        <f>Horticulture!H15</f>
        <v>101.623346</v>
      </c>
      <c r="H37" s="120">
        <f t="shared" si="6"/>
        <v>0.55300111940155938</v>
      </c>
      <c r="I37" s="311">
        <f t="shared" si="4"/>
        <v>50.182905999999996</v>
      </c>
      <c r="J37" s="120">
        <f t="shared" si="7"/>
        <v>1.0250590111302045</v>
      </c>
      <c r="K37" s="79" t="str">
        <f>Horticulture!L15</f>
        <v>GTA (2019)</v>
      </c>
      <c r="L37" s="253" t="str">
        <f>Horticulture!M15</f>
        <v>IHS Global Trade Atlas (GTA) (2019). Unpublished trade data accessed via subscription service. Last Accessed September 2019.</v>
      </c>
    </row>
    <row r="38" spans="1:12" x14ac:dyDescent="0.25">
      <c r="A38" s="284" t="str">
        <f>Horticulture!B16</f>
        <v>Japan</v>
      </c>
      <c r="B38" s="77" t="s">
        <v>11</v>
      </c>
      <c r="C38" s="300">
        <f>Horticulture!D16</f>
        <v>21.707737999999999</v>
      </c>
      <c r="D38" s="300">
        <f>Horticulture!E16</f>
        <v>30.671790999999999</v>
      </c>
      <c r="E38" s="300">
        <f>Horticulture!F16</f>
        <v>40.641117999999999</v>
      </c>
      <c r="F38" s="305">
        <f>Horticulture!G16</f>
        <v>39.011539999999997</v>
      </c>
      <c r="G38" s="305">
        <f>Horticulture!H16</f>
        <v>56.570425999999998</v>
      </c>
      <c r="H38" s="120">
        <f t="shared" si="6"/>
        <v>0.45009466429676959</v>
      </c>
      <c r="I38" s="311">
        <f t="shared" si="4"/>
        <v>37.720522599999995</v>
      </c>
      <c r="J38" s="120">
        <f t="shared" si="7"/>
        <v>0.49972540412258248</v>
      </c>
      <c r="K38" s="79" t="str">
        <f>Horticulture!L16</f>
        <v>GTA (2019)</v>
      </c>
      <c r="L38" s="253" t="str">
        <f>Horticulture!M16</f>
        <v>IHS Global Trade Atlas (GTA) (2019). Unpublished trade data accessed via subscription service. Last Accessed September 2019.</v>
      </c>
    </row>
    <row r="39" spans="1:12" x14ac:dyDescent="0.25">
      <c r="A39" s="284" t="str">
        <f>Horticulture!B17</f>
        <v>United States</v>
      </c>
      <c r="B39" s="77" t="s">
        <v>11</v>
      </c>
      <c r="C39" s="300">
        <f>Horticulture!D17</f>
        <v>24.178834999999999</v>
      </c>
      <c r="D39" s="300">
        <f>Horticulture!E17</f>
        <v>20.451180000000001</v>
      </c>
      <c r="E39" s="300">
        <f>Horticulture!F17</f>
        <v>16.546465000000001</v>
      </c>
      <c r="F39" s="305">
        <f>Horticulture!G17</f>
        <v>21.899166000000001</v>
      </c>
      <c r="G39" s="305">
        <f>Horticulture!H17</f>
        <v>39.173048000000001</v>
      </c>
      <c r="H39" s="120">
        <f t="shared" si="6"/>
        <v>0.78879177407943302</v>
      </c>
      <c r="I39" s="311">
        <f t="shared" si="4"/>
        <v>24.449738799999999</v>
      </c>
      <c r="J39" s="120">
        <f t="shared" si="7"/>
        <v>0.60218676855558084</v>
      </c>
      <c r="K39" s="79" t="str">
        <f>Horticulture!L17</f>
        <v>GTA (2019)</v>
      </c>
      <c r="L39" s="253" t="str">
        <f>Horticulture!M17</f>
        <v>IHS Global Trade Atlas (GTA) (2019). Unpublished trade data accessed via subscription service. Last Accessed September 2019.</v>
      </c>
    </row>
    <row r="40" spans="1:12" ht="17.25" x14ac:dyDescent="0.25">
      <c r="A40" s="252" t="s">
        <v>545</v>
      </c>
      <c r="B40" s="77" t="s">
        <v>11</v>
      </c>
      <c r="C40" s="300">
        <f>Wine!D7</f>
        <v>490.148143</v>
      </c>
      <c r="D40" s="300">
        <f>Wine!E7</f>
        <v>506.79865799999999</v>
      </c>
      <c r="E40" s="300">
        <f>Wine!F7</f>
        <v>507.65681699999999</v>
      </c>
      <c r="F40" s="305">
        <f>Wine!G7</f>
        <v>519.64791400000001</v>
      </c>
      <c r="G40" s="305">
        <f>Wine!H7</f>
        <v>539.84796500000004</v>
      </c>
      <c r="H40" s="120">
        <f t="shared" si="6"/>
        <v>3.8872572093111568E-2</v>
      </c>
      <c r="I40" s="311">
        <f t="shared" si="4"/>
        <v>512.81989940000005</v>
      </c>
      <c r="J40" s="120">
        <f t="shared" si="7"/>
        <v>5.2704790963889803E-2</v>
      </c>
      <c r="K40" s="79" t="str">
        <f>Wine!L7</f>
        <v>GTA (2019)</v>
      </c>
      <c r="L40" s="253" t="str">
        <f>Wine!M7</f>
        <v>IHS Global Trade Atlas (GTA) (2019). Unpublished trade data accessed via subscription service. Last Accessed September 2019.</v>
      </c>
    </row>
    <row r="41" spans="1:12" x14ac:dyDescent="0.25">
      <c r="A41" s="284" t="str">
        <f>Wine!B8</f>
        <v>United States</v>
      </c>
      <c r="B41" s="77" t="s">
        <v>11</v>
      </c>
      <c r="C41" s="300">
        <f>Wine!D8</f>
        <v>253.47308000000001</v>
      </c>
      <c r="D41" s="300">
        <f>Wine!E8</f>
        <v>261.01698499999998</v>
      </c>
      <c r="E41" s="300">
        <f>Wine!F8</f>
        <v>245.37803600000001</v>
      </c>
      <c r="F41" s="305">
        <f>Wine!G8</f>
        <v>226.765502</v>
      </c>
      <c r="G41" s="305">
        <f>Wine!H8</f>
        <v>244.55725899999999</v>
      </c>
      <c r="H41" s="120">
        <f t="shared" si="6"/>
        <v>7.8458834536480726E-2</v>
      </c>
      <c r="I41" s="311">
        <f t="shared" si="4"/>
        <v>246.2381724</v>
      </c>
      <c r="J41" s="120">
        <f t="shared" si="7"/>
        <v>-6.8263721405040778E-3</v>
      </c>
      <c r="K41" s="79" t="str">
        <f>Wine!L8</f>
        <v>GTA (2019)</v>
      </c>
      <c r="L41" s="253" t="str">
        <f>Wine!M8</f>
        <v>IHS Global Trade Atlas (GTA) (2019). Unpublished trade data accessed via subscription service. Last Accessed September 2019.</v>
      </c>
    </row>
    <row r="42" spans="1:12" x14ac:dyDescent="0.25">
      <c r="A42" s="284" t="str">
        <f>Wine!B9</f>
        <v>United Kingdom</v>
      </c>
      <c r="B42" s="77" t="s">
        <v>11</v>
      </c>
      <c r="C42" s="300">
        <f>Wine!D9</f>
        <v>56.631670999999997</v>
      </c>
      <c r="D42" s="300">
        <f>Wine!E9</f>
        <v>50.007936000000001</v>
      </c>
      <c r="E42" s="300">
        <f>Wine!F9</f>
        <v>51.020111</v>
      </c>
      <c r="F42" s="305">
        <f>Wine!G9</f>
        <v>85.769851000000003</v>
      </c>
      <c r="G42" s="305">
        <f>Wine!H9</f>
        <v>88.115504999999999</v>
      </c>
      <c r="H42" s="120">
        <f t="shared" si="6"/>
        <v>2.7348234521242132E-2</v>
      </c>
      <c r="I42" s="311">
        <f t="shared" si="4"/>
        <v>66.3090148</v>
      </c>
      <c r="J42" s="120">
        <f t="shared" si="7"/>
        <v>0.3288616225979577</v>
      </c>
      <c r="K42" s="79" t="str">
        <f>Wine!L9</f>
        <v>GTA (2019)</v>
      </c>
      <c r="L42" s="253" t="str">
        <f>Wine!M9</f>
        <v>IHS Global Trade Atlas (GTA) (2019). Unpublished trade data accessed via subscription service. Last Accessed September 2019.</v>
      </c>
    </row>
    <row r="43" spans="1:12" x14ac:dyDescent="0.25">
      <c r="A43" s="284" t="str">
        <f>Wine!B10</f>
        <v>China</v>
      </c>
      <c r="B43" s="77" t="s">
        <v>11</v>
      </c>
      <c r="C43" s="300">
        <f>Wine!D10</f>
        <v>32.220903</v>
      </c>
      <c r="D43" s="300">
        <f>Wine!E10</f>
        <v>43.166558000000002</v>
      </c>
      <c r="E43" s="300">
        <f>Wine!F10</f>
        <v>57.536251</v>
      </c>
      <c r="F43" s="305">
        <f>Wine!G10</f>
        <v>65.526891000000006</v>
      </c>
      <c r="G43" s="305">
        <f>Wine!H10</f>
        <v>58.363261999999999</v>
      </c>
      <c r="H43" s="120">
        <f t="shared" si="6"/>
        <v>-0.10932349895861848</v>
      </c>
      <c r="I43" s="311">
        <f t="shared" si="4"/>
        <v>51.362773000000004</v>
      </c>
      <c r="J43" s="120">
        <f t="shared" si="7"/>
        <v>0.13629499715679283</v>
      </c>
      <c r="K43" s="79" t="str">
        <f>Wine!L10</f>
        <v>GTA (2019)</v>
      </c>
      <c r="L43" s="253" t="str">
        <f>Wine!M10</f>
        <v>IHS Global Trade Atlas (GTA) (2019). Unpublished trade data accessed via subscription service. Last Accessed September 2019.</v>
      </c>
    </row>
    <row r="44" spans="1:12" x14ac:dyDescent="0.25">
      <c r="A44" s="254" t="s">
        <v>134</v>
      </c>
      <c r="B44" s="72" t="s">
        <v>11</v>
      </c>
      <c r="C44" s="306">
        <f>SUM(C45,C49,C57,C61,C65,C69,C73)</f>
        <v>2868.590702</v>
      </c>
      <c r="D44" s="306">
        <f t="shared" ref="D44:F44" si="9">SUM(D45,D49,D57,D61,D65,D69,D73)</f>
        <v>2679.2798789999997</v>
      </c>
      <c r="E44" s="306">
        <f t="shared" si="9"/>
        <v>2602.5557840000001</v>
      </c>
      <c r="F44" s="307">
        <f t="shared" si="9"/>
        <v>3167.2865749999996</v>
      </c>
      <c r="G44" s="307">
        <f t="shared" ref="G44" si="10">SUM(G45,G49,G57,G61,G65,G69,G73)</f>
        <v>3614.7224410000003</v>
      </c>
      <c r="H44" s="126">
        <f t="shared" si="6"/>
        <v>0.14126788195665574</v>
      </c>
      <c r="I44" s="310">
        <f t="shared" si="4"/>
        <v>2986.4870762</v>
      </c>
      <c r="J44" s="126">
        <f t="shared" si="7"/>
        <v>0.21035931138177433</v>
      </c>
      <c r="K44" s="79"/>
      <c r="L44" s="253"/>
    </row>
    <row r="45" spans="1:12" x14ac:dyDescent="0.25">
      <c r="A45" s="252" t="s">
        <v>122</v>
      </c>
      <c r="B45" s="77" t="s">
        <v>11</v>
      </c>
      <c r="C45" s="300">
        <f>Beef!D12</f>
        <v>1722.4811400000001</v>
      </c>
      <c r="D45" s="300">
        <f>Beef!E12</f>
        <v>1577.454438</v>
      </c>
      <c r="E45" s="300">
        <f>Beef!F12</f>
        <v>1303.5414880000001</v>
      </c>
      <c r="F45" s="305">
        <f>Beef!G12</f>
        <v>1479.4857260000001</v>
      </c>
      <c r="G45" s="305">
        <f>Beef!H12</f>
        <v>1802.3339000000001</v>
      </c>
      <c r="H45" s="120">
        <f t="shared" si="6"/>
        <v>0.21821648450293996</v>
      </c>
      <c r="I45" s="311">
        <f t="shared" si="4"/>
        <v>1577.0593383999999</v>
      </c>
      <c r="J45" s="120">
        <f t="shared" si="7"/>
        <v>0.14284469589365711</v>
      </c>
      <c r="K45" s="79" t="str">
        <f>Beef!L12</f>
        <v>GTA (2019)</v>
      </c>
      <c r="L45" s="253" t="str">
        <f>Beef!M12</f>
        <v>IHS Global Trade Atlas (GTA) (2019). Unpublished trade data accessed via subscription service. Last Accessed September 2019.</v>
      </c>
    </row>
    <row r="46" spans="1:12" x14ac:dyDescent="0.25">
      <c r="A46" s="284" t="str">
        <f>Beef!B13</f>
        <v>China</v>
      </c>
      <c r="B46" s="77" t="s">
        <v>11</v>
      </c>
      <c r="C46" s="300">
        <f>Beef!D13</f>
        <v>179.762045</v>
      </c>
      <c r="D46" s="300">
        <f>Beef!E13</f>
        <v>208.84508299999999</v>
      </c>
      <c r="E46" s="300">
        <f>Beef!F13</f>
        <v>148.58690799999999</v>
      </c>
      <c r="F46" s="305">
        <f>Beef!G13</f>
        <v>248.96375599999999</v>
      </c>
      <c r="G46" s="305">
        <f>Beef!H13</f>
        <v>500.39761499999997</v>
      </c>
      <c r="H46" s="120">
        <f t="shared" si="6"/>
        <v>1.0099215365308032</v>
      </c>
      <c r="I46" s="311">
        <f>IF(ISBLANK(G46),"",IF(ISNA(AVERAGE(C46:G46)),"N/A",IF(ISERROR(AVERAGE(C46:G46)),"N/A",AVERAGE(C46:G46))))</f>
        <v>257.31108139999998</v>
      </c>
      <c r="J46" s="120">
        <f t="shared" si="7"/>
        <v>0.94471847958274524</v>
      </c>
      <c r="K46" s="79" t="str">
        <f>Beef!L14</f>
        <v>GTA (2019)</v>
      </c>
      <c r="L46" s="253" t="str">
        <f>Beef!M14</f>
        <v>IHS Global Trade Atlas (GTA) (2019). Unpublished trade data accessed via subscription service. Last Accessed September 2019.</v>
      </c>
    </row>
    <row r="47" spans="1:12" x14ac:dyDescent="0.25">
      <c r="A47" s="284" t="str">
        <f>Beef!B14</f>
        <v>Japan</v>
      </c>
      <c r="B47" s="77" t="s">
        <v>11</v>
      </c>
      <c r="C47" s="300">
        <f>Beef!D14</f>
        <v>318.125676</v>
      </c>
      <c r="D47" s="300">
        <f>Beef!E14</f>
        <v>319.61097100000001</v>
      </c>
      <c r="E47" s="300">
        <f>Beef!F14</f>
        <v>357.53304900000001</v>
      </c>
      <c r="F47" s="305">
        <f>Beef!G14</f>
        <v>383.31357100000002</v>
      </c>
      <c r="G47" s="305">
        <f>Beef!H14</f>
        <v>401.82855699999999</v>
      </c>
      <c r="H47" s="120">
        <f t="shared" si="6"/>
        <v>4.8302453658756406E-2</v>
      </c>
      <c r="I47" s="311">
        <f t="shared" si="4"/>
        <v>356.08236479999999</v>
      </c>
      <c r="J47" s="120">
        <f t="shared" si="7"/>
        <v>0.12847081664854176</v>
      </c>
      <c r="K47" s="79" t="str">
        <f>Beef!L15</f>
        <v>GTA (2019)</v>
      </c>
      <c r="L47" s="253" t="str">
        <f>Beef!M15</f>
        <v>IHS Global Trade Atlas (GTA) (2019). Unpublished trade data accessed via subscription service. Last Accessed September 2019.</v>
      </c>
    </row>
    <row r="48" spans="1:12" x14ac:dyDescent="0.25">
      <c r="A48" s="284" t="str">
        <f>Beef!B15</f>
        <v>United States</v>
      </c>
      <c r="B48" s="77" t="s">
        <v>11</v>
      </c>
      <c r="C48" s="300">
        <f>Beef!D15</f>
        <v>628.02971000000002</v>
      </c>
      <c r="D48" s="300">
        <f>Beef!E15</f>
        <v>463.537509</v>
      </c>
      <c r="E48" s="300">
        <f>Beef!F15</f>
        <v>248.26018300000001</v>
      </c>
      <c r="F48" s="305">
        <f>Beef!G15</f>
        <v>282.82933000000003</v>
      </c>
      <c r="G48" s="305">
        <f>Beef!H15</f>
        <v>267.27266400000002</v>
      </c>
      <c r="H48" s="120">
        <f t="shared" si="6"/>
        <v>-5.5003722563002899E-2</v>
      </c>
      <c r="I48" s="311">
        <f t="shared" si="4"/>
        <v>377.98587920000006</v>
      </c>
      <c r="J48" s="120">
        <f t="shared" si="7"/>
        <v>-0.29290304556964519</v>
      </c>
      <c r="K48" s="79" t="str">
        <f>Beef!L13</f>
        <v>GTA (2019)</v>
      </c>
      <c r="L48" s="253" t="str">
        <f>Beef!M13</f>
        <v>IHS Global Trade Atlas (GTA) (2019). Unpublished trade data accessed via subscription service. Last Accessed September 2019.</v>
      </c>
    </row>
    <row r="49" spans="1:12" x14ac:dyDescent="0.25">
      <c r="A49" s="252" t="s">
        <v>124</v>
      </c>
      <c r="B49" s="77" t="s">
        <v>11</v>
      </c>
      <c r="C49" s="300">
        <f>'Sheep Meat'!D9</f>
        <v>499.748313</v>
      </c>
      <c r="D49" s="300">
        <f>'Sheep Meat'!E9</f>
        <v>463.908952</v>
      </c>
      <c r="E49" s="300">
        <f>'Sheep Meat'!F9</f>
        <v>561.29422999999997</v>
      </c>
      <c r="F49" s="305">
        <f>'Sheep Meat'!G9</f>
        <v>741.03124200000002</v>
      </c>
      <c r="G49" s="305">
        <f>'Sheep Meat'!H9</f>
        <v>927.05228799999998</v>
      </c>
      <c r="H49" s="120">
        <f t="shared" si="6"/>
        <v>0.25102996399711852</v>
      </c>
      <c r="I49" s="311">
        <f t="shared" si="4"/>
        <v>638.60700500000007</v>
      </c>
      <c r="J49" s="120">
        <f t="shared" si="7"/>
        <v>0.4516788584240472</v>
      </c>
      <c r="K49" s="79" t="str">
        <f>'Sheep Meat'!L9</f>
        <v>GTA (2019)</v>
      </c>
      <c r="L49" s="253" t="str">
        <f>'Sheep Meat'!M9</f>
        <v>IHS Global Trade Atlas (GTA) (2019). Unpublished trade data accessed via subscription service. Last Accessed September 2019.</v>
      </c>
    </row>
    <row r="50" spans="1:12" x14ac:dyDescent="0.25">
      <c r="A50" s="284" t="str">
        <f>'Sheep Meat'!B10</f>
        <v>China</v>
      </c>
      <c r="B50" s="77" t="s">
        <v>11</v>
      </c>
      <c r="C50" s="300">
        <f>'Sheep Meat'!D10</f>
        <v>98.763266000000002</v>
      </c>
      <c r="D50" s="300">
        <f>'Sheep Meat'!E10</f>
        <v>56.950896</v>
      </c>
      <c r="E50" s="300">
        <f>'Sheep Meat'!F10</f>
        <v>102.672606</v>
      </c>
      <c r="F50" s="305">
        <f>'Sheep Meat'!G10</f>
        <v>224.30800500000001</v>
      </c>
      <c r="G50" s="305">
        <f>'Sheep Meat'!H10</f>
        <v>350.99996499999997</v>
      </c>
      <c r="H50" s="120">
        <f t="shared" si="6"/>
        <v>0.5648124773790395</v>
      </c>
      <c r="I50" s="311">
        <f t="shared" si="4"/>
        <v>166.73894759999999</v>
      </c>
      <c r="J50" s="120">
        <f t="shared" si="7"/>
        <v>1.1050868441489432</v>
      </c>
      <c r="K50" s="79" t="str">
        <f>'Sheep Meat'!L10</f>
        <v>GTA (2019)</v>
      </c>
      <c r="L50" s="253" t="str">
        <f>'Sheep Meat'!M10</f>
        <v>IHS Global Trade Atlas (GTA) (2019). Unpublished trade data accessed via subscription service. Last Accessed September 2019.</v>
      </c>
    </row>
    <row r="51" spans="1:12" x14ac:dyDescent="0.25">
      <c r="A51" s="284" t="str">
        <f>'Sheep Meat'!B11</f>
        <v>United States</v>
      </c>
      <c r="B51" s="77" t="s">
        <v>11</v>
      </c>
      <c r="C51" s="300">
        <f>'Sheep Meat'!D11</f>
        <v>96.619832000000002</v>
      </c>
      <c r="D51" s="300">
        <f>'Sheep Meat'!E11</f>
        <v>152.478184</v>
      </c>
      <c r="E51" s="300">
        <f>'Sheep Meat'!F11</f>
        <v>182.64807999999999</v>
      </c>
      <c r="F51" s="305">
        <f>'Sheep Meat'!G11</f>
        <v>184.131866</v>
      </c>
      <c r="G51" s="305">
        <f>'Sheep Meat'!H11</f>
        <v>237.47554500000001</v>
      </c>
      <c r="H51" s="120">
        <f t="shared" si="6"/>
        <v>0.28970367899274962</v>
      </c>
      <c r="I51" s="311">
        <f t="shared" si="4"/>
        <v>170.67070140000001</v>
      </c>
      <c r="J51" s="120">
        <f t="shared" si="7"/>
        <v>0.39142537677530154</v>
      </c>
      <c r="K51" s="79" t="str">
        <f>'Sheep Meat'!L11</f>
        <v>GTA (2019)</v>
      </c>
      <c r="L51" s="253" t="str">
        <f>'Sheep Meat'!M11</f>
        <v>IHS Global Trade Atlas (GTA) (2019). Unpublished trade data accessed via subscription service. Last Accessed September 2019.</v>
      </c>
    </row>
    <row r="52" spans="1:12" x14ac:dyDescent="0.25">
      <c r="A52" s="284" t="str">
        <f>'Sheep Meat'!B12</f>
        <v>Japan</v>
      </c>
      <c r="B52" s="77" t="s">
        <v>11</v>
      </c>
      <c r="C52" s="300">
        <f>'Sheep Meat'!D12</f>
        <v>34.341068</v>
      </c>
      <c r="D52" s="300">
        <f>'Sheep Meat'!E12</f>
        <v>31.690253999999999</v>
      </c>
      <c r="E52" s="300">
        <f>'Sheep Meat'!F12</f>
        <v>34.346775999999998</v>
      </c>
      <c r="F52" s="305">
        <f>'Sheep Meat'!G12</f>
        <v>46.511450000000004</v>
      </c>
      <c r="G52" s="305">
        <f>'Sheep Meat'!H12</f>
        <v>50.965282999999999</v>
      </c>
      <c r="H52" s="120">
        <f t="shared" si="6"/>
        <v>9.5757775773492204E-2</v>
      </c>
      <c r="I52" s="311">
        <f t="shared" si="4"/>
        <v>39.570966200000001</v>
      </c>
      <c r="J52" s="120">
        <f t="shared" si="7"/>
        <v>0.28794638832953234</v>
      </c>
      <c r="K52" s="79" t="str">
        <f>'Sheep Meat'!L12</f>
        <v>GTA (2019)</v>
      </c>
      <c r="L52" s="253" t="str">
        <f>'Sheep Meat'!M12</f>
        <v>IHS Global Trade Atlas (GTA) (2019). Unpublished trade data accessed via subscription service. Last Accessed September 2019.</v>
      </c>
    </row>
    <row r="53" spans="1:12" x14ac:dyDescent="0.25">
      <c r="A53" s="252" t="s">
        <v>513</v>
      </c>
      <c r="B53" s="77" t="s">
        <v>11</v>
      </c>
      <c r="C53" s="300">
        <f>'Goat Meat'!D5</f>
        <v>5.5319710000000004</v>
      </c>
      <c r="D53" s="300">
        <f>'Goat Meat'!E5</f>
        <v>10.81085</v>
      </c>
      <c r="E53" s="300">
        <f>'Goat Meat'!F5</f>
        <v>5.1000430000000003</v>
      </c>
      <c r="F53" s="305">
        <f>'Goat Meat'!G5</f>
        <v>11.922556999999999</v>
      </c>
      <c r="G53" s="305">
        <f>'Goat Meat'!H5</f>
        <v>5.7913579999999998</v>
      </c>
      <c r="H53" s="120">
        <f t="shared" ref="H53:H56" si="11">IF(ISBLANK(G53),"N/A",IF(ISNA(G53/F53-1),"N/A",IF(ISERROR(G53/F53-1),"N/A",G53/F53-1)))</f>
        <v>-0.51425201825413791</v>
      </c>
      <c r="I53" s="311">
        <f t="shared" ref="I53:I56" si="12">IF(ISBLANK(G53),"",IF(ISNA(AVERAGE(C53:G53)),"N/A",IF(ISERROR(AVERAGE(C53:G53)),"N/A",AVERAGE(C53:G53))))</f>
        <v>7.8313557999999999</v>
      </c>
      <c r="J53" s="120">
        <f t="shared" ref="J53:J56" si="13">IF(ISBLANK(G53),"",IF(ISNA(G53/AVERAGE(C53:G53)-1),"N/A",IF(ISERROR(G53/AVERAGE(C53:G53)-1),"N/A",G53/AVERAGE(C53:G53)-1)))</f>
        <v>-0.26049101229700233</v>
      </c>
      <c r="K53" s="79" t="str">
        <f>'Sheep Meat'!L13</f>
        <v>GTA (2019)</v>
      </c>
      <c r="L53" s="253" t="str">
        <f>'Sheep Meat'!M13</f>
        <v>IHS Global Trade Atlas (GTA) (2019). Unpublished trade data accessed via subscription service. Last Accessed September 2019.</v>
      </c>
    </row>
    <row r="54" spans="1:12" x14ac:dyDescent="0.25">
      <c r="A54" s="284" t="str">
        <f>'Goat Meat'!B6</f>
        <v>United States</v>
      </c>
      <c r="B54" s="77" t="s">
        <v>11</v>
      </c>
      <c r="C54" s="300">
        <f>'Goat Meat'!D6</f>
        <v>0</v>
      </c>
      <c r="D54" s="300">
        <f>'Goat Meat'!E6</f>
        <v>6.0374230000000004</v>
      </c>
      <c r="E54" s="300">
        <f>'Goat Meat'!F6</f>
        <v>2.2591329999999998</v>
      </c>
      <c r="F54" s="305">
        <f>'Goat Meat'!G6</f>
        <v>7.439406</v>
      </c>
      <c r="G54" s="305">
        <f>'Goat Meat'!H6</f>
        <v>0.12424499999999999</v>
      </c>
      <c r="H54" s="120">
        <f t="shared" si="11"/>
        <v>-0.98329906984509252</v>
      </c>
      <c r="I54" s="311">
        <f t="shared" si="12"/>
        <v>3.1720414000000003</v>
      </c>
      <c r="J54" s="120">
        <f t="shared" si="13"/>
        <v>-0.96083121739836053</v>
      </c>
      <c r="K54" s="79" t="str">
        <f>'Goat Meat'!L5</f>
        <v>GTA (2019)</v>
      </c>
      <c r="L54" s="253" t="str">
        <f>'Goat Meat'!M5</f>
        <v>IHS Global Trade Atlas (GTA) (2019). Unpublished trade data accessed via subscription service. Last Accessed September 2019.</v>
      </c>
    </row>
    <row r="55" spans="1:12" x14ac:dyDescent="0.25">
      <c r="A55" s="284" t="str">
        <f>'Goat Meat'!B7</f>
        <v>Trinidad &amp; Tobago</v>
      </c>
      <c r="B55" s="77" t="s">
        <v>11</v>
      </c>
      <c r="C55" s="300">
        <f>'Goat Meat'!D7</f>
        <v>0.55402499999999999</v>
      </c>
      <c r="D55" s="300">
        <f>'Goat Meat'!E7</f>
        <v>0.710646</v>
      </c>
      <c r="E55" s="300">
        <f>'Goat Meat'!F7</f>
        <v>0</v>
      </c>
      <c r="F55" s="305">
        <f>'Goat Meat'!G7</f>
        <v>1.144795</v>
      </c>
      <c r="G55" s="305">
        <f>'Goat Meat'!H7</f>
        <v>3.5063279999999999</v>
      </c>
      <c r="H55" s="120">
        <f t="shared" si="11"/>
        <v>2.0628435658786071</v>
      </c>
      <c r="I55" s="311">
        <f t="shared" si="12"/>
        <v>1.1831588</v>
      </c>
      <c r="J55" s="120">
        <f t="shared" si="13"/>
        <v>1.9635311844868162</v>
      </c>
      <c r="K55" s="79" t="str">
        <f>'Goat Meat'!L6</f>
        <v>GTA (2019)</v>
      </c>
      <c r="L55" s="253" t="str">
        <f>'Goat Meat'!M6</f>
        <v>IHS Global Trade Atlas (GTA) (2019). Unpublished trade data accessed via subscription service. Last Accessed September 2019.</v>
      </c>
    </row>
    <row r="56" spans="1:12" x14ac:dyDescent="0.25">
      <c r="A56" s="284" t="str">
        <f>'Goat Meat'!B8</f>
        <v>Malaysia</v>
      </c>
      <c r="B56" s="77" t="s">
        <v>11</v>
      </c>
      <c r="C56" s="300">
        <f>'Goat Meat'!D8</f>
        <v>4.2682000000000002</v>
      </c>
      <c r="D56" s="300">
        <f>'Goat Meat'!E8</f>
        <v>1.9837199999999999</v>
      </c>
      <c r="E56" s="300">
        <f>'Goat Meat'!F8</f>
        <v>2.1599200000000001</v>
      </c>
      <c r="F56" s="305">
        <f>'Goat Meat'!G8</f>
        <v>1.1837169999999999</v>
      </c>
      <c r="G56" s="305">
        <f>'Goat Meat'!H8</f>
        <v>0.53577900000000001</v>
      </c>
      <c r="H56" s="120">
        <f t="shared" si="11"/>
        <v>-0.54737576633604146</v>
      </c>
      <c r="I56" s="311">
        <f t="shared" si="12"/>
        <v>2.0262671999999999</v>
      </c>
      <c r="J56" s="120">
        <f t="shared" si="13"/>
        <v>-0.73558324390781227</v>
      </c>
      <c r="K56" s="79" t="str">
        <f>'Goat Meat'!L7</f>
        <v>GTA (2019)</v>
      </c>
      <c r="L56" s="253" t="str">
        <f>'Goat Meat'!M7</f>
        <v>IHS Global Trade Atlas (GTA) (2019). Unpublished trade data accessed via subscription service. Last Accessed September 2019.</v>
      </c>
    </row>
    <row r="57" spans="1:12" x14ac:dyDescent="0.25">
      <c r="A57" s="252" t="s">
        <v>125</v>
      </c>
      <c r="B57" s="77" t="s">
        <v>11</v>
      </c>
      <c r="C57" s="300">
        <f>Pork!D6</f>
        <v>18.204432000000001</v>
      </c>
      <c r="D57" s="300">
        <f>Pork!E6</f>
        <v>24.979061999999999</v>
      </c>
      <c r="E57" s="300">
        <f>Pork!F6</f>
        <v>29.385045999999999</v>
      </c>
      <c r="F57" s="305">
        <f>Pork!G6</f>
        <v>31.189703000000002</v>
      </c>
      <c r="G57" s="305">
        <f>Pork!H6</f>
        <v>30.079008000000002</v>
      </c>
      <c r="H57" s="120">
        <f t="shared" si="6"/>
        <v>-3.5610951473311503E-2</v>
      </c>
      <c r="I57" s="311">
        <f t="shared" si="4"/>
        <v>26.767450199999995</v>
      </c>
      <c r="J57" s="120">
        <f t="shared" si="7"/>
        <v>0.12371584798913737</v>
      </c>
      <c r="K57" s="79" t="str">
        <f>Pork!L6</f>
        <v>GTA (2019)</v>
      </c>
      <c r="L57" s="253" t="str">
        <f>Pork!M6</f>
        <v>IHS Global Trade Atlas (GTA) (2019). Unpublished trade data accessed via subscription service. Last Accessed September 2019.</v>
      </c>
    </row>
    <row r="58" spans="1:12" x14ac:dyDescent="0.25">
      <c r="A58" s="284" t="str">
        <f>Pork!B7</f>
        <v>Singapore</v>
      </c>
      <c r="B58" s="77" t="s">
        <v>11</v>
      </c>
      <c r="C58" s="300">
        <f>Pork!D7</f>
        <v>5.0836690000000004</v>
      </c>
      <c r="D58" s="300">
        <f>Pork!E7</f>
        <v>8.2613350000000008</v>
      </c>
      <c r="E58" s="300">
        <f>Pork!F7</f>
        <v>12.298526000000001</v>
      </c>
      <c r="F58" s="305">
        <f>Pork!G7</f>
        <v>11.379702999999999</v>
      </c>
      <c r="G58" s="305">
        <f>Pork!H7</f>
        <v>9.4225779999999997</v>
      </c>
      <c r="H58" s="120">
        <f t="shared" si="6"/>
        <v>-0.17198383824252705</v>
      </c>
      <c r="I58" s="311">
        <f t="shared" si="4"/>
        <v>9.2891622000000016</v>
      </c>
      <c r="J58" s="120">
        <f t="shared" si="7"/>
        <v>1.4362522381189402E-2</v>
      </c>
      <c r="K58" s="79" t="str">
        <f>Pork!L7</f>
        <v>GTA (2019)</v>
      </c>
      <c r="L58" s="253" t="str">
        <f>Pork!M7</f>
        <v>IHS Global Trade Atlas (GTA) (2019). Unpublished trade data accessed via subscription service. Last Accessed September 2019.</v>
      </c>
    </row>
    <row r="59" spans="1:12" x14ac:dyDescent="0.25">
      <c r="A59" s="284" t="str">
        <f>Pork!B8</f>
        <v>New Zealand</v>
      </c>
      <c r="B59" s="77" t="s">
        <v>11</v>
      </c>
      <c r="C59" s="300">
        <f>Pork!D8</f>
        <v>4.2100860000000004</v>
      </c>
      <c r="D59" s="300">
        <f>Pork!E8</f>
        <v>7.6504779999999997</v>
      </c>
      <c r="E59" s="300">
        <f>Pork!F8</f>
        <v>4.751341</v>
      </c>
      <c r="F59" s="305">
        <f>Pork!G8</f>
        <v>6.3201929999999997</v>
      </c>
      <c r="G59" s="305">
        <f>Pork!H8</f>
        <v>4.8186689999999999</v>
      </c>
      <c r="H59" s="120">
        <f t="shared" si="6"/>
        <v>-0.23757565631302713</v>
      </c>
      <c r="I59" s="311">
        <f t="shared" si="4"/>
        <v>5.5501534000000001</v>
      </c>
      <c r="J59" s="120">
        <f t="shared" si="7"/>
        <v>-0.13179534821506023</v>
      </c>
      <c r="K59" s="79" t="str">
        <f>Pork!L8</f>
        <v>GTA (2019)</v>
      </c>
      <c r="L59" s="253" t="str">
        <f>Pork!M8</f>
        <v>IHS Global Trade Atlas (GTA) (2019). Unpublished trade data accessed via subscription service. Last Accessed September 2019.</v>
      </c>
    </row>
    <row r="60" spans="1:12" x14ac:dyDescent="0.25">
      <c r="A60" s="284" t="str">
        <f>Pork!B9</f>
        <v>Papua New Guinea</v>
      </c>
      <c r="B60" s="77" t="s">
        <v>11</v>
      </c>
      <c r="C60" s="300">
        <f>Pork!D9</f>
        <v>2.4957370000000001</v>
      </c>
      <c r="D60" s="300">
        <f>Pork!E9</f>
        <v>1.85453</v>
      </c>
      <c r="E60" s="300">
        <f>Pork!F9</f>
        <v>2.8119320000000001</v>
      </c>
      <c r="F60" s="305">
        <f>Pork!G9</f>
        <v>4.356617</v>
      </c>
      <c r="G60" s="305">
        <f>Pork!H9</f>
        <v>3.2919200000000002</v>
      </c>
      <c r="H60" s="120">
        <f t="shared" si="6"/>
        <v>-0.24438618313246263</v>
      </c>
      <c r="I60" s="311">
        <f t="shared" si="4"/>
        <v>2.9621472000000004</v>
      </c>
      <c r="J60" s="120">
        <f t="shared" si="7"/>
        <v>0.11132897109232109</v>
      </c>
      <c r="K60" s="79" t="str">
        <f>Pork!L9</f>
        <v>GTA (2019)</v>
      </c>
      <c r="L60" s="253" t="str">
        <f>Pork!M9</f>
        <v>IHS Global Trade Atlas (GTA) (2019). Unpublished trade data accessed via subscription service. Last Accessed September 2019.</v>
      </c>
    </row>
    <row r="61" spans="1:12" x14ac:dyDescent="0.25">
      <c r="A61" s="252" t="s">
        <v>74</v>
      </c>
      <c r="B61" s="77" t="s">
        <v>11</v>
      </c>
      <c r="C61" s="300">
        <f>Poultry!D6</f>
        <v>14.773712</v>
      </c>
      <c r="D61" s="300">
        <f>Poultry!E6</f>
        <v>17.501463000000001</v>
      </c>
      <c r="E61" s="300">
        <f>Poultry!F6</f>
        <v>21.813934</v>
      </c>
      <c r="F61" s="305">
        <f>Poultry!G6</f>
        <v>22.908660999999999</v>
      </c>
      <c r="G61" s="305">
        <f>Poultry!H6</f>
        <v>22.097940000000001</v>
      </c>
      <c r="H61" s="120">
        <f t="shared" si="6"/>
        <v>-3.5389279190084388E-2</v>
      </c>
      <c r="I61" s="311">
        <f t="shared" si="4"/>
        <v>19.819141999999999</v>
      </c>
      <c r="J61" s="120">
        <f t="shared" si="7"/>
        <v>0.1149796494722124</v>
      </c>
      <c r="K61" s="79" t="str">
        <f>Poultry!L6</f>
        <v>GTA (2019)</v>
      </c>
      <c r="L61" s="253" t="str">
        <f>Poultry!M6</f>
        <v>IHS Global Trade Atlas (GTA) (2019). Unpublished trade data accessed via subscription service. Last Accessed September 2019.</v>
      </c>
    </row>
    <row r="62" spans="1:12" x14ac:dyDescent="0.25">
      <c r="A62" s="284" t="str">
        <f>Poultry!B7</f>
        <v>Hong Kong</v>
      </c>
      <c r="B62" s="77" t="s">
        <v>11</v>
      </c>
      <c r="C62" s="300">
        <f>Poultry!D7</f>
        <v>0.66589399999999999</v>
      </c>
      <c r="D62" s="300">
        <f>Poultry!E7</f>
        <v>0.91683300000000001</v>
      </c>
      <c r="E62" s="300">
        <f>Poultry!F7</f>
        <v>1.3945339999999999</v>
      </c>
      <c r="F62" s="305">
        <f>Poultry!G7</f>
        <v>3.329145</v>
      </c>
      <c r="G62" s="305">
        <f>Poultry!H7</f>
        <v>2.5822590000000001</v>
      </c>
      <c r="H62" s="120">
        <f t="shared" si="6"/>
        <v>-0.22434769287609879</v>
      </c>
      <c r="I62" s="311">
        <f t="shared" si="4"/>
        <v>1.777733</v>
      </c>
      <c r="J62" s="120">
        <f t="shared" si="7"/>
        <v>0.45255727378633348</v>
      </c>
      <c r="K62" s="79" t="str">
        <f>Poultry!L7</f>
        <v>GTA (2019)</v>
      </c>
      <c r="L62" s="253" t="str">
        <f>Poultry!M7</f>
        <v>IHS Global Trade Atlas (GTA) (2019). Unpublished trade data accessed via subscription service. Last Accessed September 2019.</v>
      </c>
    </row>
    <row r="63" spans="1:12" x14ac:dyDescent="0.25">
      <c r="A63" s="284" t="str">
        <f>Poultry!B8</f>
        <v>Solomon Islands</v>
      </c>
      <c r="B63" s="77" t="s">
        <v>11</v>
      </c>
      <c r="C63" s="300">
        <f>Poultry!D8</f>
        <v>3.0116860000000001</v>
      </c>
      <c r="D63" s="300">
        <f>Poultry!E8</f>
        <v>3.964636</v>
      </c>
      <c r="E63" s="300">
        <f>Poultry!F8</f>
        <v>3.6707860000000001</v>
      </c>
      <c r="F63" s="305">
        <f>Poultry!G8</f>
        <v>3.0736189999999999</v>
      </c>
      <c r="G63" s="305">
        <f>Poultry!H8</f>
        <v>2.4171079999999998</v>
      </c>
      <c r="H63" s="120">
        <f t="shared" si="6"/>
        <v>-0.21359543912241563</v>
      </c>
      <c r="I63" s="311">
        <f t="shared" si="4"/>
        <v>3.2275669999999996</v>
      </c>
      <c r="J63" s="120">
        <f t="shared" si="7"/>
        <v>-0.25110524429082337</v>
      </c>
      <c r="K63" s="79" t="str">
        <f>Poultry!L8</f>
        <v>GTA (2019)</v>
      </c>
      <c r="L63" s="253" t="str">
        <f>Poultry!M8</f>
        <v>IHS Global Trade Atlas (GTA) (2019). Unpublished trade data accessed via subscription service. Last Accessed September 2019.</v>
      </c>
    </row>
    <row r="64" spans="1:12" x14ac:dyDescent="0.25">
      <c r="A64" s="284" t="str">
        <f>Poultry!B9</f>
        <v>Philippines</v>
      </c>
      <c r="B64" s="77" t="s">
        <v>11</v>
      </c>
      <c r="C64" s="300">
        <f>Poultry!D9</f>
        <v>2.3261099999999999</v>
      </c>
      <c r="D64" s="300">
        <f>Poultry!E9</f>
        <v>0.84096899999999997</v>
      </c>
      <c r="E64" s="300">
        <f>Poultry!F9</f>
        <v>3.1266289999999999</v>
      </c>
      <c r="F64" s="305">
        <f>Poultry!G9</f>
        <v>1.4674339999999999</v>
      </c>
      <c r="G64" s="305">
        <f>Poultry!H9</f>
        <v>3.2997010000000002</v>
      </c>
      <c r="H64" s="120">
        <f t="shared" si="6"/>
        <v>1.2486196994208942</v>
      </c>
      <c r="I64" s="311">
        <f t="shared" si="4"/>
        <v>2.2121686</v>
      </c>
      <c r="J64" s="120">
        <f t="shared" si="7"/>
        <v>0.49161370430807128</v>
      </c>
      <c r="K64" s="79" t="str">
        <f>Poultry!L9</f>
        <v>GTA (2019)</v>
      </c>
      <c r="L64" s="253" t="str">
        <f>Poultry!M9</f>
        <v>IHS Global Trade Atlas (GTA) (2019). Unpublished trade data accessed via subscription service. Last Accessed September 2019.</v>
      </c>
    </row>
    <row r="65" spans="1:12" x14ac:dyDescent="0.25">
      <c r="A65" s="252" t="s">
        <v>76</v>
      </c>
      <c r="B65" s="77" t="s">
        <v>11</v>
      </c>
      <c r="C65" s="300">
        <f>Wool!D7</f>
        <v>604.71934999999996</v>
      </c>
      <c r="D65" s="300">
        <f>Wool!E7</f>
        <v>583.64401599999997</v>
      </c>
      <c r="E65" s="300">
        <f>Wool!F7</f>
        <v>673.06748300000004</v>
      </c>
      <c r="F65" s="305">
        <f>Wool!G7</f>
        <v>870.84544500000004</v>
      </c>
      <c r="G65" s="305">
        <f>Wool!H7</f>
        <v>807.47414600000002</v>
      </c>
      <c r="H65" s="120">
        <f t="shared" si="6"/>
        <v>-7.2769857572143604E-2</v>
      </c>
      <c r="I65" s="311">
        <f t="shared" si="4"/>
        <v>707.95008800000005</v>
      </c>
      <c r="J65" s="120">
        <f t="shared" si="7"/>
        <v>0.14058061392599175</v>
      </c>
      <c r="K65" s="79" t="str">
        <f>Wool!L7</f>
        <v>GTA (2019)</v>
      </c>
      <c r="L65" s="253" t="str">
        <f>Wool!M7</f>
        <v>IHS Global Trade Atlas (GTA) (2019). Unpublished trade data accessed via subscription service. Last Accessed September 2019.</v>
      </c>
    </row>
    <row r="66" spans="1:12" x14ac:dyDescent="0.25">
      <c r="A66" s="284" t="str">
        <f>Wool!B8</f>
        <v>China</v>
      </c>
      <c r="B66" s="77" t="s">
        <v>11</v>
      </c>
      <c r="C66" s="300">
        <f>Wool!D8</f>
        <v>452.84025600000001</v>
      </c>
      <c r="D66" s="300">
        <f>Wool!E8</f>
        <v>441.734036</v>
      </c>
      <c r="E66" s="300">
        <f>Wool!F8</f>
        <v>532.06757000000005</v>
      </c>
      <c r="F66" s="305">
        <f>Wool!G8</f>
        <v>719.50719200000003</v>
      </c>
      <c r="G66" s="305">
        <f>Wool!H8</f>
        <v>684.67072399999995</v>
      </c>
      <c r="H66" s="120">
        <f t="shared" si="6"/>
        <v>-4.8417122701950754E-2</v>
      </c>
      <c r="I66" s="311">
        <f t="shared" si="4"/>
        <v>566.16395560000001</v>
      </c>
      <c r="J66" s="120">
        <f t="shared" si="7"/>
        <v>0.20931528266297139</v>
      </c>
      <c r="K66" s="79" t="str">
        <f>Wool!L8</f>
        <v>GTA (2019)</v>
      </c>
      <c r="L66" s="253" t="str">
        <f>Wool!M8</f>
        <v>IHS Global Trade Atlas (GTA) (2019). Unpublished trade data accessed via subscription service. Last Accessed September 2019.</v>
      </c>
    </row>
    <row r="67" spans="1:12" x14ac:dyDescent="0.25">
      <c r="A67" s="284" t="str">
        <f>Wool!B9</f>
        <v>Italy</v>
      </c>
      <c r="B67" s="77" t="s">
        <v>11</v>
      </c>
      <c r="C67" s="300">
        <f>Wool!D9</f>
        <v>63.278779</v>
      </c>
      <c r="D67" s="300">
        <f>Wool!E9</f>
        <v>63.710774999999998</v>
      </c>
      <c r="E67" s="300">
        <f>Wool!F9</f>
        <v>80.188967000000005</v>
      </c>
      <c r="F67" s="305">
        <f>Wool!G9</f>
        <v>65.215986000000001</v>
      </c>
      <c r="G67" s="305">
        <f>Wool!H9</f>
        <v>45.271394999999998</v>
      </c>
      <c r="H67" s="120">
        <f t="shared" si="6"/>
        <v>-0.30582365188805094</v>
      </c>
      <c r="I67" s="311">
        <f t="shared" si="4"/>
        <v>63.533180399999992</v>
      </c>
      <c r="J67" s="120">
        <f t="shared" si="7"/>
        <v>-0.28743697836351345</v>
      </c>
      <c r="K67" s="79" t="str">
        <f>Wool!L9</f>
        <v>GTA (2019)</v>
      </c>
      <c r="L67" s="253" t="str">
        <f>Wool!M9</f>
        <v>IHS Global Trade Atlas (GTA) (2019). Unpublished trade data accessed via subscription service. Last Accessed September 2019.</v>
      </c>
    </row>
    <row r="68" spans="1:12" x14ac:dyDescent="0.25">
      <c r="A68" s="284" t="str">
        <f>Wool!B10</f>
        <v>Czech Republic</v>
      </c>
      <c r="B68" s="77" t="s">
        <v>11</v>
      </c>
      <c r="C68" s="300">
        <f>Wool!D10</f>
        <v>42.302019999999999</v>
      </c>
      <c r="D68" s="300">
        <f>Wool!E10</f>
        <v>33.768081000000002</v>
      </c>
      <c r="E68" s="300">
        <f>Wool!F10</f>
        <v>31.031779</v>
      </c>
      <c r="F68" s="305">
        <f>Wool!G10</f>
        <v>43.616841999999998</v>
      </c>
      <c r="G68" s="305">
        <f>Wool!H10</f>
        <v>30.909317000000001</v>
      </c>
      <c r="H68" s="120">
        <f t="shared" si="6"/>
        <v>-0.29134445359432481</v>
      </c>
      <c r="I68" s="311">
        <f t="shared" si="4"/>
        <v>36.3256078</v>
      </c>
      <c r="J68" s="120">
        <f t="shared" si="7"/>
        <v>-0.14910392772560843</v>
      </c>
      <c r="K68" s="79" t="str">
        <f>Wool!L10</f>
        <v>GTA (2019)</v>
      </c>
      <c r="L68" s="253" t="str">
        <f>Wool!M10</f>
        <v>IHS Global Trade Atlas (GTA) (2019). Unpublished trade data accessed via subscription service. Last Accessed September 2019.</v>
      </c>
    </row>
    <row r="69" spans="1:12" x14ac:dyDescent="0.25">
      <c r="A69" s="252" t="s">
        <v>78</v>
      </c>
      <c r="B69" s="77" t="s">
        <v>11</v>
      </c>
      <c r="C69" s="300">
        <f>Eggs!D8</f>
        <v>0.96578299999999995</v>
      </c>
      <c r="D69" s="300">
        <f>Eggs!E8</f>
        <v>1.8150740000000001</v>
      </c>
      <c r="E69" s="300">
        <f>Eggs!F8</f>
        <v>3.8432759999999999</v>
      </c>
      <c r="F69" s="305">
        <f>Eggs!G8</f>
        <v>12.240022</v>
      </c>
      <c r="G69" s="305">
        <f>Eggs!H8</f>
        <v>7.8934610000000003</v>
      </c>
      <c r="H69" s="120">
        <f t="shared" si="6"/>
        <v>-0.35511055453985296</v>
      </c>
      <c r="I69" s="311">
        <f t="shared" si="4"/>
        <v>5.3515231999999999</v>
      </c>
      <c r="J69" s="120">
        <f t="shared" si="7"/>
        <v>0.47499332526485172</v>
      </c>
      <c r="K69" s="79" t="str">
        <f>Eggs!L8</f>
        <v>GTA (2019)</v>
      </c>
      <c r="L69" s="253" t="str">
        <f>Eggs!M8</f>
        <v>IHS Global Trade Atlas (GTA) (2019). Unpublished trade data accessed via subscription service. Last Accessed September 2019.</v>
      </c>
    </row>
    <row r="70" spans="1:12" x14ac:dyDescent="0.25">
      <c r="A70" s="284" t="str">
        <f>Eggs!B9</f>
        <v>Philippines</v>
      </c>
      <c r="B70" s="77" t="s">
        <v>11</v>
      </c>
      <c r="C70" s="300">
        <f>Eggs!D9</f>
        <v>0.62495999999999996</v>
      </c>
      <c r="D70" s="300">
        <f>Eggs!E9</f>
        <v>0</v>
      </c>
      <c r="E70" s="300">
        <f>Eggs!F9</f>
        <v>1.5422400000000001</v>
      </c>
      <c r="F70" s="305">
        <f>Eggs!G9</f>
        <v>11.042329000000001</v>
      </c>
      <c r="G70" s="305">
        <f>Eggs!H9</f>
        <v>5.8645069999999997</v>
      </c>
      <c r="H70" s="120">
        <f t="shared" ref="H70:H87" si="14">IF(ISBLANK(G70),"N/A",IF(ISNA(G70/F70-1),"N/A",IF(ISERROR(G70/F70-1),"N/A",G70/F70-1)))</f>
        <v>-0.4689066953176273</v>
      </c>
      <c r="I70" s="311">
        <f t="shared" si="4"/>
        <v>3.8148071999999997</v>
      </c>
      <c r="J70" s="120">
        <f t="shared" ref="J70:J87" si="15">IF(ISBLANK(G70),"",IF(ISNA(G70/AVERAGE(C70:G70)-1),"N/A",IF(ISERROR(G70/AVERAGE(C70:G70)-1),"N/A",G70/AVERAGE(C70:G70)-1)))</f>
        <v>0.53730102008824976</v>
      </c>
      <c r="K70" s="79" t="str">
        <f>Eggs!L9</f>
        <v>GTA (2019)</v>
      </c>
      <c r="L70" s="253" t="str">
        <f>Eggs!M9</f>
        <v>IHS Global Trade Atlas (GTA) (2019). Unpublished trade data accessed via subscription service. Last Accessed September 2019.</v>
      </c>
    </row>
    <row r="71" spans="1:12" x14ac:dyDescent="0.25">
      <c r="A71" s="284" t="str">
        <f>Eggs!B10</f>
        <v>Singapore</v>
      </c>
      <c r="B71" s="77" t="s">
        <v>11</v>
      </c>
      <c r="C71" s="300">
        <f>Eggs!D10</f>
        <v>8.0641000000000004E-2</v>
      </c>
      <c r="D71" s="300">
        <f>Eggs!E10</f>
        <v>0</v>
      </c>
      <c r="E71" s="300">
        <f>Eggs!F10</f>
        <v>2.2401000000000001E-2</v>
      </c>
      <c r="F71" s="305">
        <f>Eggs!G10</f>
        <v>0.46512900000000001</v>
      </c>
      <c r="G71" s="305">
        <f>Eggs!H10</f>
        <v>0.56649300000000002</v>
      </c>
      <c r="H71" s="120">
        <f t="shared" si="14"/>
        <v>0.21792663970640413</v>
      </c>
      <c r="I71" s="311">
        <f t="shared" ref="I71:I87" si="16">IF(ISBLANK(G71),"",IF(ISNA(AVERAGE(C71:G71)),"N/A",IF(ISERROR(AVERAGE(C71:G71)),"N/A",AVERAGE(C71:G71))))</f>
        <v>0.22693279999999999</v>
      </c>
      <c r="J71" s="120">
        <f t="shared" si="15"/>
        <v>1.4963028702770163</v>
      </c>
      <c r="K71" s="79" t="str">
        <f>Eggs!L10</f>
        <v>GTA (2019)</v>
      </c>
      <c r="L71" s="253" t="str">
        <f>Eggs!M10</f>
        <v>IHS Global Trade Atlas (GTA) (2019). Unpublished trade data accessed via subscription service. Last Accessed September 2019.</v>
      </c>
    </row>
    <row r="72" spans="1:12" x14ac:dyDescent="0.25">
      <c r="A72" s="284" t="str">
        <f>Eggs!B11</f>
        <v>New Zealand</v>
      </c>
      <c r="B72" s="77" t="s">
        <v>11</v>
      </c>
      <c r="C72" s="300">
        <f>Eggs!D11</f>
        <v>1.2968E-2</v>
      </c>
      <c r="D72" s="300">
        <f>Eggs!E11</f>
        <v>2.3800000000000002E-3</v>
      </c>
      <c r="E72" s="300">
        <f>Eggs!F11</f>
        <v>2.5714999999999998E-2</v>
      </c>
      <c r="F72" s="305">
        <f>Eggs!G11</f>
        <v>4.7638E-2</v>
      </c>
      <c r="G72" s="305">
        <f>Eggs!H11</f>
        <v>0.60447499999999998</v>
      </c>
      <c r="H72" s="120">
        <f t="shared" si="14"/>
        <v>11.688924807926446</v>
      </c>
      <c r="I72" s="311">
        <f t="shared" si="16"/>
        <v>0.13863520000000001</v>
      </c>
      <c r="J72" s="120">
        <f t="shared" si="15"/>
        <v>3.360184137938993</v>
      </c>
      <c r="K72" s="79" t="str">
        <f>Eggs!L11</f>
        <v>GTA (2019)</v>
      </c>
      <c r="L72" s="253" t="str">
        <f>Eggs!M11</f>
        <v>IHS Global Trade Atlas (GTA) (2019). Unpublished trade data accessed via subscription service. Last Accessed September 2019.</v>
      </c>
    </row>
    <row r="73" spans="1:12" x14ac:dyDescent="0.25">
      <c r="A73" s="252" t="s">
        <v>77</v>
      </c>
      <c r="B73" s="77" t="s">
        <v>11</v>
      </c>
      <c r="C73" s="300">
        <f>Milk!D9</f>
        <v>7.697972</v>
      </c>
      <c r="D73" s="300">
        <f>Milk!E9</f>
        <v>9.9768740000000005</v>
      </c>
      <c r="E73" s="300">
        <f>Milk!F9</f>
        <v>9.6103269999999998</v>
      </c>
      <c r="F73" s="305">
        <f>Milk!G9</f>
        <v>9.5857759999999992</v>
      </c>
      <c r="G73" s="305">
        <f>Milk!H9</f>
        <v>17.791698</v>
      </c>
      <c r="H73" s="120">
        <f t="shared" si="14"/>
        <v>0.85605192526927421</v>
      </c>
      <c r="I73" s="311">
        <f t="shared" si="16"/>
        <v>10.932529399999998</v>
      </c>
      <c r="J73" s="120">
        <f t="shared" si="15"/>
        <v>0.62740911540562627</v>
      </c>
      <c r="K73" s="79" t="str">
        <f>Milk!L9</f>
        <v>GTA (2019)</v>
      </c>
      <c r="L73" s="253" t="str">
        <f>Milk!M9</f>
        <v>IHS Global Trade Atlas (GTA) (2019). Unpublished trade data accessed via subscription service. Last Accessed September 2019.</v>
      </c>
    </row>
    <row r="74" spans="1:12" x14ac:dyDescent="0.25">
      <c r="A74" s="284" t="str">
        <f>Milk!B10</f>
        <v>China</v>
      </c>
      <c r="B74" s="77" t="s">
        <v>11</v>
      </c>
      <c r="C74" s="300">
        <f>Milk!D10</f>
        <v>2.9383509999999999</v>
      </c>
      <c r="D74" s="300">
        <f>Milk!E10</f>
        <v>5.3333190000000004</v>
      </c>
      <c r="E74" s="300">
        <f>Milk!F10</f>
        <v>2.1540240000000002</v>
      </c>
      <c r="F74" s="305">
        <f>Milk!G10</f>
        <v>3.9554179999999999</v>
      </c>
      <c r="G74" s="305">
        <f>Milk!H10</f>
        <v>11.632845</v>
      </c>
      <c r="H74" s="120">
        <f t="shared" si="14"/>
        <v>1.9409900546541476</v>
      </c>
      <c r="I74" s="311">
        <f t="shared" si="16"/>
        <v>5.2027913999999997</v>
      </c>
      <c r="J74" s="120">
        <f t="shared" si="15"/>
        <v>1.2358853364753388</v>
      </c>
      <c r="K74" s="79" t="str">
        <f>Milk!L10</f>
        <v>GTA (2019)</v>
      </c>
      <c r="L74" s="253" t="str">
        <f>Milk!M10</f>
        <v>IHS Global Trade Atlas (GTA) (2019). Unpublished trade data accessed via subscription service. Last Accessed September 2019.</v>
      </c>
    </row>
    <row r="75" spans="1:12" x14ac:dyDescent="0.25">
      <c r="A75" s="284" t="str">
        <f>Milk!B11</f>
        <v>Singapore</v>
      </c>
      <c r="B75" s="77" t="s">
        <v>11</v>
      </c>
      <c r="C75" s="300">
        <f>Milk!D11</f>
        <v>4.6359999999999998E-2</v>
      </c>
      <c r="D75" s="300">
        <f>Milk!E11</f>
        <v>1.6723399999999999</v>
      </c>
      <c r="E75" s="300">
        <f>Milk!F11</f>
        <v>4.7397130000000001</v>
      </c>
      <c r="F75" s="305">
        <f>Milk!G11</f>
        <v>2.7436470000000002</v>
      </c>
      <c r="G75" s="305">
        <f>Milk!H11</f>
        <v>2.7993000000000001</v>
      </c>
      <c r="H75" s="120">
        <f t="shared" si="14"/>
        <v>2.0284315001164455E-2</v>
      </c>
      <c r="I75" s="311">
        <f t="shared" si="16"/>
        <v>2.4002720000000002</v>
      </c>
      <c r="J75" s="120">
        <f t="shared" si="15"/>
        <v>0.16624282581307459</v>
      </c>
      <c r="K75" s="79" t="str">
        <f>Milk!L11</f>
        <v>GTA (2019)</v>
      </c>
      <c r="L75" s="253" t="str">
        <f>Milk!M11</f>
        <v>IHS Global Trade Atlas (GTA) (2019). Unpublished trade data accessed via subscription service. Last Accessed September 2019.</v>
      </c>
    </row>
    <row r="76" spans="1:12" x14ac:dyDescent="0.25">
      <c r="A76" s="284" t="str">
        <f>Milk!B12</f>
        <v>Hong Kong</v>
      </c>
      <c r="B76" s="77" t="s">
        <v>11</v>
      </c>
      <c r="C76" s="300">
        <f>Milk!D12</f>
        <v>1.3384929999999999</v>
      </c>
      <c r="D76" s="300">
        <f>Milk!E12</f>
        <v>1.478947</v>
      </c>
      <c r="E76" s="300">
        <f>Milk!F12</f>
        <v>1.142164</v>
      </c>
      <c r="F76" s="305">
        <f>Milk!G12</f>
        <v>1.8655349999999999</v>
      </c>
      <c r="G76" s="305">
        <f>Milk!H12</f>
        <v>1.7445029999999999</v>
      </c>
      <c r="H76" s="120">
        <f t="shared" si="14"/>
        <v>-6.4877903657663882E-2</v>
      </c>
      <c r="I76" s="311">
        <f t="shared" si="16"/>
        <v>1.5139284</v>
      </c>
      <c r="J76" s="120">
        <f t="shared" si="15"/>
        <v>0.15230218285091945</v>
      </c>
      <c r="K76" s="79" t="str">
        <f>Milk!L12</f>
        <v>GTA (2019)</v>
      </c>
      <c r="L76" s="253" t="str">
        <f>Milk!M12</f>
        <v>IHS Global Trade Atlas (GTA) (2019). Unpublished trade data accessed via subscription service. Last Accessed September 2019.</v>
      </c>
    </row>
    <row r="77" spans="1:12" x14ac:dyDescent="0.25">
      <c r="A77" s="250" t="s">
        <v>135</v>
      </c>
      <c r="B77" s="72" t="s">
        <v>11</v>
      </c>
      <c r="C77" s="306">
        <f>SUM(C78,C82)</f>
        <v>103.72028299999999</v>
      </c>
      <c r="D77" s="306">
        <f>SUM(D78,D82)</f>
        <v>103.843639</v>
      </c>
      <c r="E77" s="306">
        <f t="shared" ref="E77" si="17">SUM(E78,E82)</f>
        <v>149.20578600000002</v>
      </c>
      <c r="F77" s="307">
        <f>SUM(F78,F82)</f>
        <v>156.15461100000002</v>
      </c>
      <c r="G77" s="307">
        <f>SUM(G78,G82)</f>
        <v>176.29612700000001</v>
      </c>
      <c r="H77" s="126">
        <f t="shared" si="14"/>
        <v>0.12898444606288306</v>
      </c>
      <c r="I77" s="310">
        <f t="shared" si="16"/>
        <v>137.84408920000001</v>
      </c>
      <c r="J77" s="126">
        <f t="shared" si="15"/>
        <v>0.27895311306536597</v>
      </c>
      <c r="K77" s="79"/>
      <c r="L77" s="253"/>
    </row>
    <row r="78" spans="1:12" x14ac:dyDescent="0.25">
      <c r="A78" s="252" t="s">
        <v>126</v>
      </c>
      <c r="B78" s="77" t="s">
        <v>11</v>
      </c>
      <c r="C78" s="300">
        <f>Forestry!D11</f>
        <v>91.270089999999996</v>
      </c>
      <c r="D78" s="300">
        <f>Forestry!E11</f>
        <v>91.576611999999997</v>
      </c>
      <c r="E78" s="300">
        <f>Forestry!F11</f>
        <v>138.33978400000001</v>
      </c>
      <c r="F78" s="305">
        <f>Forestry!G11</f>
        <v>146.92478600000001</v>
      </c>
      <c r="G78" s="305">
        <f>Forestry!H11</f>
        <v>166.938265</v>
      </c>
      <c r="H78" s="120">
        <f t="shared" si="14"/>
        <v>0.13621581180999631</v>
      </c>
      <c r="I78" s="311">
        <f t="shared" si="16"/>
        <v>127.0099074</v>
      </c>
      <c r="J78" s="120">
        <f t="shared" si="15"/>
        <v>0.3143719920545347</v>
      </c>
      <c r="K78" s="79" t="str">
        <f>Forestry!L11</f>
        <v>GTA (2019)</v>
      </c>
      <c r="L78" s="253" t="str">
        <f>Forestry!M11</f>
        <v>IHS Global Trade Atlas (GTA) (2019). Unpublished trade data accessed via subscription service. Last Accessed September 2019.</v>
      </c>
    </row>
    <row r="79" spans="1:12" x14ac:dyDescent="0.25">
      <c r="A79" s="284" t="str">
        <f>Forestry!B12</f>
        <v>China</v>
      </c>
      <c r="B79" s="77" t="s">
        <v>11</v>
      </c>
      <c r="C79" s="300">
        <f>Forestry!D12</f>
        <v>67.175366999999994</v>
      </c>
      <c r="D79" s="300">
        <f>Forestry!E12</f>
        <v>67.637573000000003</v>
      </c>
      <c r="E79" s="300">
        <f>Forestry!F12</f>
        <v>110.707849</v>
      </c>
      <c r="F79" s="305">
        <f>Forestry!G12</f>
        <v>127.26960099999999</v>
      </c>
      <c r="G79" s="305">
        <f>Forestry!H12</f>
        <v>141.966385</v>
      </c>
      <c r="H79" s="120">
        <f t="shared" si="14"/>
        <v>0.11547756797006081</v>
      </c>
      <c r="I79" s="311">
        <f t="shared" si="16"/>
        <v>102.95135500000001</v>
      </c>
      <c r="J79" s="120">
        <f t="shared" si="15"/>
        <v>0.37896567752799371</v>
      </c>
      <c r="K79" s="79" t="str">
        <f>Forestry!L12</f>
        <v>GTA (2019)</v>
      </c>
      <c r="L79" s="253" t="str">
        <f>Forestry!M12</f>
        <v>IHS Global Trade Atlas (GTA) (2019). Unpublished trade data accessed via subscription service. Last Accessed September 2019.</v>
      </c>
    </row>
    <row r="80" spans="1:12" x14ac:dyDescent="0.25">
      <c r="A80" s="284" t="str">
        <f>Forestry!B13</f>
        <v>Taiwan</v>
      </c>
      <c r="B80" s="77" t="s">
        <v>11</v>
      </c>
      <c r="C80" s="300">
        <f>Forestry!D13</f>
        <v>11.225510999999999</v>
      </c>
      <c r="D80" s="300">
        <f>Forestry!E13</f>
        <v>9.1312309999999997</v>
      </c>
      <c r="E80" s="300">
        <f>Forestry!F13</f>
        <v>15.720196</v>
      </c>
      <c r="F80" s="305">
        <f>Forestry!G13</f>
        <v>8.181203</v>
      </c>
      <c r="G80" s="305">
        <f>Forestry!H13</f>
        <v>8.3387419999999999</v>
      </c>
      <c r="H80" s="120">
        <f t="shared" si="14"/>
        <v>1.925621452004056E-2</v>
      </c>
      <c r="I80" s="311">
        <f t="shared" si="16"/>
        <v>10.519376599999998</v>
      </c>
      <c r="J80" s="120">
        <f t="shared" si="15"/>
        <v>-0.20729694191193782</v>
      </c>
      <c r="K80" s="79" t="str">
        <f>Forestry!L13</f>
        <v>GTA (2019)</v>
      </c>
      <c r="L80" s="253" t="str">
        <f>Forestry!M13</f>
        <v>IHS Global Trade Atlas (GTA) (2019). Unpublished trade data accessed via subscription service. Last Accessed September 2019.</v>
      </c>
    </row>
    <row r="81" spans="1:12" x14ac:dyDescent="0.25">
      <c r="A81" s="284" t="str">
        <f>Forestry!B14</f>
        <v>New Zealand</v>
      </c>
      <c r="B81" s="77" t="s">
        <v>11</v>
      </c>
      <c r="C81" s="300">
        <f>Forestry!D14</f>
        <v>1.7976049999999999</v>
      </c>
      <c r="D81" s="300">
        <f>Forestry!E14</f>
        <v>2.0819529999999999</v>
      </c>
      <c r="E81" s="300">
        <f>Forestry!F14</f>
        <v>2.537382</v>
      </c>
      <c r="F81" s="305">
        <f>Forestry!G14</f>
        <v>2.5424039999999999</v>
      </c>
      <c r="G81" s="305">
        <f>Forestry!H14</f>
        <v>2.9580350000000002</v>
      </c>
      <c r="H81" s="120">
        <f t="shared" si="14"/>
        <v>0.16347952567727253</v>
      </c>
      <c r="I81" s="311">
        <f t="shared" si="16"/>
        <v>2.3834758000000003</v>
      </c>
      <c r="J81" s="120">
        <f t="shared" si="15"/>
        <v>0.24105938059031273</v>
      </c>
      <c r="K81" s="79" t="str">
        <f>Forestry!L14</f>
        <v>GTA (2019)</v>
      </c>
      <c r="L81" s="253" t="str">
        <f>Forestry!M14</f>
        <v>IHS Global Trade Atlas (GTA) (2019). Unpublished trade data accessed via subscription service. Last Accessed September 2019.</v>
      </c>
    </row>
    <row r="82" spans="1:12" x14ac:dyDescent="0.25">
      <c r="A82" s="252" t="s">
        <v>129</v>
      </c>
      <c r="B82" s="77" t="s">
        <v>11</v>
      </c>
      <c r="C82" s="300">
        <f>Fisheries!D8</f>
        <v>12.450193000000001</v>
      </c>
      <c r="D82" s="300">
        <f>Fisheries!E8</f>
        <v>12.267027000000001</v>
      </c>
      <c r="E82" s="300">
        <f>Fisheries!F8</f>
        <v>10.866002</v>
      </c>
      <c r="F82" s="305">
        <f>Fisheries!G8</f>
        <v>9.2298249999999999</v>
      </c>
      <c r="G82" s="305">
        <f>Fisheries!H8</f>
        <v>9.3578620000000008</v>
      </c>
      <c r="H82" s="120">
        <f t="shared" si="14"/>
        <v>1.3872093999615531E-2</v>
      </c>
      <c r="I82" s="311">
        <f t="shared" si="16"/>
        <v>10.8341818</v>
      </c>
      <c r="J82" s="120">
        <f t="shared" si="15"/>
        <v>-0.13626500157123067</v>
      </c>
      <c r="K82" s="79" t="str">
        <f>Fisheries!L8</f>
        <v>GTA (2019)</v>
      </c>
      <c r="L82" s="253" t="str">
        <f>Fisheries!M8</f>
        <v>IHS Global Trade Atlas (GTA) (2019). Unpublished trade data accessed via subscription service. Last Accessed September 2019.</v>
      </c>
    </row>
    <row r="83" spans="1:12" x14ac:dyDescent="0.25">
      <c r="A83" s="284" t="str">
        <f>Fisheries!B9</f>
        <v>Japan</v>
      </c>
      <c r="B83" s="77" t="s">
        <v>11</v>
      </c>
      <c r="C83" s="300">
        <f>Fisheries!D9</f>
        <v>1.4587159999999999</v>
      </c>
      <c r="D83" s="300">
        <f>Fisheries!E9</f>
        <v>1.6326639999999999</v>
      </c>
      <c r="E83" s="300">
        <f>Fisheries!F9</f>
        <v>2.2134779999999998</v>
      </c>
      <c r="F83" s="305">
        <f>Fisheries!G9</f>
        <v>2.2338550000000001</v>
      </c>
      <c r="G83" s="305">
        <f>Fisheries!H9</f>
        <v>2.2032310000000002</v>
      </c>
      <c r="H83" s="120">
        <f t="shared" si="14"/>
        <v>-1.3709036620550563E-2</v>
      </c>
      <c r="I83" s="311">
        <f t="shared" si="16"/>
        <v>1.9483888</v>
      </c>
      <c r="J83" s="120">
        <f t="shared" si="15"/>
        <v>0.13079637903892705</v>
      </c>
      <c r="K83" s="79" t="str">
        <f>Fisheries!L9</f>
        <v>GTA (2019)</v>
      </c>
      <c r="L83" s="253" t="str">
        <f>Fisheries!M9</f>
        <v>IHS Global Trade Atlas (GTA) (2019). Unpublished trade data accessed via subscription service. Last Accessed September 2019.</v>
      </c>
    </row>
    <row r="84" spans="1:12" x14ac:dyDescent="0.25">
      <c r="A84" s="284" t="str">
        <f>Fisheries!B10</f>
        <v>Vietnam</v>
      </c>
      <c r="B84" s="77" t="s">
        <v>11</v>
      </c>
      <c r="C84" s="300">
        <f>Fisheries!D10</f>
        <v>2.2001650000000001</v>
      </c>
      <c r="D84" s="300">
        <f>Fisheries!E10</f>
        <v>3.2665099999999998</v>
      </c>
      <c r="E84" s="300">
        <f>Fisheries!F10</f>
        <v>2.5815579999999998</v>
      </c>
      <c r="F84" s="305">
        <f>Fisheries!G10</f>
        <v>2.0191620000000001</v>
      </c>
      <c r="G84" s="305">
        <f>Fisheries!H10</f>
        <v>2.2633619999999999</v>
      </c>
      <c r="H84" s="120">
        <f t="shared" si="14"/>
        <v>0.1209412617709722</v>
      </c>
      <c r="I84" s="311">
        <f t="shared" si="16"/>
        <v>2.4661513999999998</v>
      </c>
      <c r="J84" s="120">
        <f t="shared" si="15"/>
        <v>-8.2229095910332117E-2</v>
      </c>
      <c r="K84" s="79" t="str">
        <f>Fisheries!L10</f>
        <v>GTA (2019)</v>
      </c>
      <c r="L84" s="253" t="str">
        <f>Fisheries!M10</f>
        <v>IHS Global Trade Atlas (GTA) (2019). Unpublished trade data accessed via subscription service. Last Accessed September 2019.</v>
      </c>
    </row>
    <row r="85" spans="1:12" x14ac:dyDescent="0.25">
      <c r="A85" s="284" t="str">
        <f>Fisheries!B11</f>
        <v>New Zealand</v>
      </c>
      <c r="B85" s="77" t="s">
        <v>11</v>
      </c>
      <c r="C85" s="300">
        <f>Fisheries!D11</f>
        <v>0.32688099999999998</v>
      </c>
      <c r="D85" s="300">
        <f>Fisheries!E11</f>
        <v>1.0248900000000001</v>
      </c>
      <c r="E85" s="300">
        <f>Fisheries!F11</f>
        <v>0.157585</v>
      </c>
      <c r="F85" s="305">
        <f>Fisheries!G11</f>
        <v>1.1587780000000001</v>
      </c>
      <c r="G85" s="305">
        <f>Fisheries!H11</f>
        <v>2.422479</v>
      </c>
      <c r="H85" s="120">
        <f t="shared" si="14"/>
        <v>1.0905462478576569</v>
      </c>
      <c r="I85" s="311">
        <f t="shared" si="16"/>
        <v>1.0181226000000001</v>
      </c>
      <c r="J85" s="120">
        <f t="shared" si="15"/>
        <v>1.3793588316377612</v>
      </c>
      <c r="K85" s="79" t="str">
        <f>Fisheries!L11</f>
        <v>GTA (2019)</v>
      </c>
      <c r="L85" s="253" t="str">
        <f>Fisheries!M11</f>
        <v>IHS Global Trade Atlas (GTA) (2019). Unpublished trade data accessed via subscription service. Last Accessed September 2019.</v>
      </c>
    </row>
    <row r="86" spans="1:12" ht="17.25" x14ac:dyDescent="0.25">
      <c r="A86" s="250" t="s">
        <v>544</v>
      </c>
      <c r="B86" s="72" t="s">
        <v>11</v>
      </c>
      <c r="C86" s="306">
        <f>'Other Crops'!D6</f>
        <v>546.03420500000084</v>
      </c>
      <c r="D86" s="306">
        <f>'Other Crops'!E6</f>
        <v>533.05049899999995</v>
      </c>
      <c r="E86" s="306">
        <f>'Other Crops'!F6</f>
        <v>490.39673199999834</v>
      </c>
      <c r="F86" s="307">
        <f>'Other Crops'!G6</f>
        <v>542.993649</v>
      </c>
      <c r="G86" s="307">
        <f>'Other Crops'!H6</f>
        <v>563.4437539999999</v>
      </c>
      <c r="H86" s="126">
        <f t="shared" si="14"/>
        <v>3.7661775672075848E-2</v>
      </c>
      <c r="I86" s="310">
        <f t="shared" si="16"/>
        <v>535.18376779999983</v>
      </c>
      <c r="J86" s="126">
        <f t="shared" si="15"/>
        <v>5.28042663105599E-2</v>
      </c>
      <c r="K86" s="79" t="str">
        <f>Fisheries!L13</f>
        <v>GTA (2019)</v>
      </c>
      <c r="L86" s="253" t="str">
        <f>Fisheries!M13</f>
        <v>IHS Global Trade Atlas (GTA) (2019). Unpublished trade data accessed via subscription service. Last Accessed September 2019.</v>
      </c>
    </row>
    <row r="87" spans="1:12" x14ac:dyDescent="0.25">
      <c r="A87" s="257" t="s">
        <v>151</v>
      </c>
      <c r="B87" s="286" t="s">
        <v>11</v>
      </c>
      <c r="C87" s="308">
        <v>5274.0019130000001</v>
      </c>
      <c r="D87" s="308">
        <v>5195.9177929999996</v>
      </c>
      <c r="E87" s="308">
        <v>6325.5488699999996</v>
      </c>
      <c r="F87" s="309">
        <v>5370.6141319999997</v>
      </c>
      <c r="G87" s="309">
        <v>5004.3924950000001</v>
      </c>
      <c r="H87" s="287">
        <f t="shared" si="14"/>
        <v>-6.8189899329747616E-2</v>
      </c>
      <c r="I87" s="312">
        <f t="shared" si="16"/>
        <v>5434.0950405999993</v>
      </c>
      <c r="J87" s="287">
        <f t="shared" si="15"/>
        <v>-7.9075272403140384E-2</v>
      </c>
      <c r="K87" s="261"/>
      <c r="L87" s="262"/>
    </row>
    <row r="88" spans="1:12" x14ac:dyDescent="0.25">
      <c r="A88" s="53" t="s">
        <v>80</v>
      </c>
    </row>
    <row r="89" spans="1:12" ht="17.25" x14ac:dyDescent="0.25">
      <c r="A89" s="49" t="s">
        <v>527</v>
      </c>
      <c r="B89"/>
      <c r="C89"/>
      <c r="D89"/>
      <c r="E89"/>
      <c r="F89"/>
      <c r="G89"/>
      <c r="H89" s="96"/>
      <c r="I89" s="96"/>
      <c r="J89" s="96"/>
    </row>
    <row r="90" spans="1:12" ht="17.25" x14ac:dyDescent="0.25">
      <c r="A90" s="2" t="s">
        <v>528</v>
      </c>
      <c r="B90"/>
      <c r="C90"/>
      <c r="D90"/>
      <c r="E90"/>
      <c r="F90"/>
      <c r="G90"/>
      <c r="H90" s="96"/>
      <c r="I90" s="96"/>
      <c r="J90" s="96"/>
    </row>
    <row r="91" spans="1:12" ht="17.25" x14ac:dyDescent="0.25">
      <c r="A91" s="213" t="s">
        <v>525</v>
      </c>
      <c r="B91"/>
      <c r="C91"/>
      <c r="D91"/>
      <c r="E91"/>
      <c r="F91"/>
      <c r="G91"/>
      <c r="H91" s="96"/>
      <c r="I91" s="96"/>
      <c r="J91" s="96"/>
    </row>
    <row r="92" spans="1:12" ht="17.25" x14ac:dyDescent="0.25">
      <c r="A92" s="81" t="s">
        <v>529</v>
      </c>
      <c r="B92"/>
      <c r="C92"/>
      <c r="D92"/>
      <c r="E92"/>
      <c r="F92"/>
      <c r="G92"/>
      <c r="H92" s="96"/>
      <c r="I92" s="96"/>
      <c r="J92" s="96"/>
    </row>
  </sheetData>
  <conditionalFormatting sqref="A87:F87 A2:F26 B27:F27 H2:L52 H87:L87 H57:L85 A57:F85 A28:F52">
    <cfRule type="expression" dxfId="45" priority="12">
      <formula>MOD(ROW(),2)=0</formula>
    </cfRule>
  </conditionalFormatting>
  <conditionalFormatting sqref="A86:F86">
    <cfRule type="expression" dxfId="44" priority="8">
      <formula>MOD(ROW(),2)=0</formula>
    </cfRule>
  </conditionalFormatting>
  <conditionalFormatting sqref="K86:L86">
    <cfRule type="expression" dxfId="43" priority="7">
      <formula>MOD(ROW(),2)=0</formula>
    </cfRule>
  </conditionalFormatting>
  <conditionalFormatting sqref="H86:J86">
    <cfRule type="expression" dxfId="42" priority="6">
      <formula>MOD(ROW(),2)=0</formula>
    </cfRule>
  </conditionalFormatting>
  <conditionalFormatting sqref="G87 G2:G52 G57:G85">
    <cfRule type="expression" dxfId="41" priority="5">
      <formula>MOD(ROW(),2)=0</formula>
    </cfRule>
  </conditionalFormatting>
  <conditionalFormatting sqref="G86">
    <cfRule type="expression" dxfId="40" priority="4">
      <formula>MOD(ROW(),2)=0</formula>
    </cfRule>
  </conditionalFormatting>
  <conditionalFormatting sqref="A27">
    <cfRule type="expression" dxfId="39" priority="3">
      <formula>MOD(ROW(),2)=0</formula>
    </cfRule>
  </conditionalFormatting>
  <conditionalFormatting sqref="A53:F56 H53:L56">
    <cfRule type="expression" dxfId="38" priority="2">
      <formula>MOD(ROW(),2)=0</formula>
    </cfRule>
  </conditionalFormatting>
  <conditionalFormatting sqref="G53:G56">
    <cfRule type="expression" dxfId="37" priority="1">
      <formula>MOD(ROW(),2)=0</formula>
    </cfRule>
  </conditionalFormatting>
  <pageMargins left="0.7" right="0.7" top="0.75" bottom="0.75" header="0.3" footer="0.3"/>
  <pageSetup paperSize="9" scale="33"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92D050"/>
  </sheetPr>
  <dimension ref="A1:M63"/>
  <sheetViews>
    <sheetView workbookViewId="0"/>
  </sheetViews>
  <sheetFormatPr defaultRowHeight="15" x14ac:dyDescent="0.25"/>
  <cols>
    <col min="1" max="1" width="36.85546875" style="8" customWidth="1"/>
    <col min="2" max="2" width="9.140625" style="8"/>
    <col min="3" max="6" width="9.5703125" style="8" bestFit="1" customWidth="1"/>
    <col min="7" max="7" width="9.5703125" style="8" customWidth="1"/>
    <col min="8" max="10" width="14.5703125" style="95" customWidth="1"/>
    <col min="11" max="11" width="36.5703125" bestFit="1" customWidth="1"/>
    <col min="12" max="12" width="187.7109375" bestFit="1" customWidth="1"/>
  </cols>
  <sheetData>
    <row r="1" spans="1:12" ht="30" x14ac:dyDescent="0.25">
      <c r="A1" s="244" t="s">
        <v>153</v>
      </c>
      <c r="B1" s="245" t="s">
        <v>1</v>
      </c>
      <c r="C1" s="245" t="str">
        <f>+'Output Table'!C1</f>
        <v>2014-15</v>
      </c>
      <c r="D1" s="245" t="str">
        <f>+'Output Table'!D1</f>
        <v>2015-16</v>
      </c>
      <c r="E1" s="245" t="str">
        <f>+'Output Table'!E1</f>
        <v>2016-17</v>
      </c>
      <c r="F1" s="245" t="str">
        <f>+'Output Table'!F1</f>
        <v>2017-18</v>
      </c>
      <c r="G1" s="245" t="str">
        <f>+'Output Table'!G1</f>
        <v>2018-19e</v>
      </c>
      <c r="H1" s="247" t="s">
        <v>136</v>
      </c>
      <c r="I1" s="247" t="s">
        <v>428</v>
      </c>
      <c r="J1" s="247" t="s">
        <v>422</v>
      </c>
      <c r="K1" s="248" t="s">
        <v>15</v>
      </c>
      <c r="L1" s="249" t="s">
        <v>16</v>
      </c>
    </row>
    <row r="2" spans="1:12" x14ac:dyDescent="0.25">
      <c r="A2" s="250" t="s">
        <v>133</v>
      </c>
      <c r="B2" s="72" t="s">
        <v>11</v>
      </c>
      <c r="C2" s="303">
        <f>SUM(C3,C4,C5,C6,C7,C8,C9,C10)</f>
        <v>114.401961</v>
      </c>
      <c r="D2" s="303">
        <f>SUM(D3,D4,D5,D6,D7,D8,D9,D10)</f>
        <v>118.002713</v>
      </c>
      <c r="E2" s="303">
        <f>SUM(E3,E4,E5,E6,E7,E8,E9,E10)</f>
        <v>109.98646099999999</v>
      </c>
      <c r="F2" s="304">
        <f>SUM(F3,F4,F5,F6,F7,F8,F9,F10)</f>
        <v>115.36090200000002</v>
      </c>
      <c r="G2" s="304">
        <f>SUM(G3,G4,G5,G6,G7,G8,G9,G10)</f>
        <v>174.75385400000002</v>
      </c>
      <c r="H2" s="126">
        <f t="shared" ref="H2:H26" si="0">IF(ISBLANK(G2),"N/A",IF(ISNA(G2/F2-1),"N/A",IF(ISERROR(G2/F2-1),"N/A",G2/F2-1)))</f>
        <v>0.51484472616207499</v>
      </c>
      <c r="I2" s="310">
        <f>IF(ISBLANK(G2),"",IF(ISNA(AVERAGE(C2:G2)),"N/A",IF(ISERROR(AVERAGE(C2:G2)),"N/A",AVERAGE(C2:G2))))</f>
        <v>126.5011782</v>
      </c>
      <c r="J2" s="126">
        <f>IF(ISBLANK(G2),"",IF(ISNA(G2/AVERAGE(C2:G2)-1),"N/A",IF(ISERROR(G2/AVERAGE(C2:G2)-1),"N/A",G2/AVERAGE(C2:G2)-1)))</f>
        <v>0.38144052479663015</v>
      </c>
      <c r="K2" s="76"/>
      <c r="L2" s="251"/>
    </row>
    <row r="3" spans="1:12" x14ac:dyDescent="0.25">
      <c r="A3" s="252" t="s">
        <v>65</v>
      </c>
      <c r="B3" s="77" t="s">
        <v>11</v>
      </c>
      <c r="C3" s="300">
        <f>Wheat!D11</f>
        <v>0.43822899999999998</v>
      </c>
      <c r="D3" s="300">
        <f>Wheat!E11</f>
        <v>0.30181200000000002</v>
      </c>
      <c r="E3" s="300">
        <f>Wheat!F11</f>
        <v>0.16347600000000001</v>
      </c>
      <c r="F3" s="305">
        <f>Wheat!G11</f>
        <v>0.40795100000000001</v>
      </c>
      <c r="G3" s="305">
        <f>Wheat!H11</f>
        <v>42.700043999999998</v>
      </c>
      <c r="H3" s="120">
        <f t="shared" si="0"/>
        <v>103.6695411948984</v>
      </c>
      <c r="I3" s="311">
        <f t="shared" ref="I3:I26" si="1">IF(ISBLANK(G3),"",IF(ISNA(AVERAGE(C3:G3)),"N/A",IF(ISERROR(AVERAGE(C3:G3)),"N/A",AVERAGE(C3:G3))))</f>
        <v>8.8023023999999985</v>
      </c>
      <c r="J3" s="120">
        <f t="shared" ref="J3:J26" si="2">IF(ISBLANK(G3),"",IF(ISNA(G3/AVERAGE(C3:G3)-1),"N/A",IF(ISERROR(G3/AVERAGE(C3:G3)-1),"N/A",G3/AVERAGE(C3:G3)-1)))</f>
        <v>3.8510085270417438</v>
      </c>
      <c r="K3" s="79" t="str">
        <f>Wheat!L7</f>
        <v>GTA (2019)</v>
      </c>
      <c r="L3" s="253" t="str">
        <f>Wheat!M7</f>
        <v>IHS Global Trade Atlas (GTA) (2019). Unpublished trade data accessed via subscription service. Last Accessed September 2019.</v>
      </c>
    </row>
    <row r="4" spans="1:12" ht="17.25" x14ac:dyDescent="0.25">
      <c r="A4" s="252" t="s">
        <v>547</v>
      </c>
      <c r="B4" s="77" t="s">
        <v>11</v>
      </c>
      <c r="C4" s="300">
        <f>Barley!D11</f>
        <v>0.200826</v>
      </c>
      <c r="D4" s="300">
        <f>Barley!E11</f>
        <v>0.16880200000000001</v>
      </c>
      <c r="E4" s="300">
        <f>Barley!F11</f>
        <v>0.196991</v>
      </c>
      <c r="F4" s="305">
        <f>Barley!G11</f>
        <v>0.14982400000000001</v>
      </c>
      <c r="G4" s="305">
        <f>Barley!H11</f>
        <v>0.13936499999999999</v>
      </c>
      <c r="H4" s="120">
        <f t="shared" si="0"/>
        <v>-6.9808575395130412E-2</v>
      </c>
      <c r="I4" s="311">
        <f t="shared" si="1"/>
        <v>0.17116159999999997</v>
      </c>
      <c r="J4" s="120">
        <f t="shared" si="2"/>
        <v>-0.18576947165719404</v>
      </c>
      <c r="K4" s="79" t="str">
        <f>Barley!L7</f>
        <v>GTA (2019)</v>
      </c>
      <c r="L4" s="253" t="str">
        <f>Barley!M7</f>
        <v>IHS Global Trade Atlas (GTA) (2019). Unpublished trade data accessed via subscription service. Last Accessed September 2019.</v>
      </c>
    </row>
    <row r="5" spans="1:12" x14ac:dyDescent="0.25">
      <c r="A5" s="252" t="s">
        <v>67</v>
      </c>
      <c r="B5" s="77" t="s">
        <v>11</v>
      </c>
      <c r="C5" s="300">
        <f>Rice!D11</f>
        <v>80.827573999999998</v>
      </c>
      <c r="D5" s="300">
        <f>Rice!E11</f>
        <v>83.421552000000005</v>
      </c>
      <c r="E5" s="300">
        <f>Rice!F11</f>
        <v>76.235851999999994</v>
      </c>
      <c r="F5" s="305">
        <f>Rice!G11</f>
        <v>79.390461000000002</v>
      </c>
      <c r="G5" s="305">
        <f>Rice!H11</f>
        <v>96.016588999999996</v>
      </c>
      <c r="H5" s="120">
        <f t="shared" si="0"/>
        <v>0.20942223776733071</v>
      </c>
      <c r="I5" s="311">
        <f t="shared" si="1"/>
        <v>83.178405599999991</v>
      </c>
      <c r="J5" s="120">
        <f t="shared" si="2"/>
        <v>0.15434514892889473</v>
      </c>
      <c r="K5" s="79" t="str">
        <f>Rice!L7</f>
        <v>GTA (2019)</v>
      </c>
      <c r="L5" s="253" t="str">
        <f>Rice!M7</f>
        <v>IHS Global Trade Atlas (GTA) (2019). Unpublished trade data accessed via subscription service. Last Accessed September 2019.</v>
      </c>
    </row>
    <row r="6" spans="1:12" x14ac:dyDescent="0.25">
      <c r="A6" s="252" t="s">
        <v>68</v>
      </c>
      <c r="B6" s="77" t="s">
        <v>11</v>
      </c>
      <c r="C6" s="300">
        <f>Sorghum!D11</f>
        <v>1.325E-3</v>
      </c>
      <c r="D6" s="300">
        <f>Sorghum!E11</f>
        <v>9.8519999999999996E-3</v>
      </c>
      <c r="E6" s="300">
        <f>Sorghum!F11</f>
        <v>2.2759999999999998E-3</v>
      </c>
      <c r="F6" s="305">
        <f>Sorghum!G11</f>
        <v>0</v>
      </c>
      <c r="G6" s="305">
        <f>Sorghum!H11</f>
        <v>0</v>
      </c>
      <c r="H6" s="120" t="str">
        <f t="shared" si="0"/>
        <v>N/A</v>
      </c>
      <c r="I6" s="311">
        <f t="shared" si="1"/>
        <v>2.6906E-3</v>
      </c>
      <c r="J6" s="120">
        <f t="shared" si="2"/>
        <v>-1</v>
      </c>
      <c r="K6" s="79" t="str">
        <f>Sorghum!L7</f>
        <v>GTA (2019)</v>
      </c>
      <c r="L6" s="253" t="str">
        <f>Sorghum!M7</f>
        <v>IHS Global Trade Atlas (GTA) (2019). Unpublished trade data accessed via subscription service. Last Accessed September 2019.</v>
      </c>
    </row>
    <row r="7" spans="1:12" x14ac:dyDescent="0.25">
      <c r="A7" s="252" t="s">
        <v>70</v>
      </c>
      <c r="B7" s="77" t="s">
        <v>11</v>
      </c>
      <c r="C7" s="300">
        <f>Pulses!D12</f>
        <v>8.8094160000000006</v>
      </c>
      <c r="D7" s="300">
        <f>Pulses!E12</f>
        <v>12.489575</v>
      </c>
      <c r="E7" s="300">
        <f>Pulses!F12</f>
        <v>12.864757000000001</v>
      </c>
      <c r="F7" s="305">
        <f>Pulses!G12</f>
        <v>16.591311000000001</v>
      </c>
      <c r="G7" s="305">
        <f>Pulses!H12</f>
        <v>13.451904000000001</v>
      </c>
      <c r="H7" s="120">
        <f t="shared" si="0"/>
        <v>-0.18921994771841721</v>
      </c>
      <c r="I7" s="311">
        <f t="shared" si="1"/>
        <v>12.841392600000001</v>
      </c>
      <c r="J7" s="120">
        <f t="shared" si="2"/>
        <v>4.7542460464918834E-2</v>
      </c>
      <c r="K7" s="79" t="str">
        <f>Pulses!L8</f>
        <v>GTA (2019)</v>
      </c>
      <c r="L7" s="253" t="str">
        <f>Pulses!M8</f>
        <v>IHS Global Trade Atlas (GTA) (2019). Unpublished trade data accessed via subscription service. Last Accessed September 2019.</v>
      </c>
    </row>
    <row r="8" spans="1:12" x14ac:dyDescent="0.25">
      <c r="A8" s="252" t="s">
        <v>69</v>
      </c>
      <c r="B8" s="77" t="s">
        <v>11</v>
      </c>
      <c r="C8" s="300">
        <f>Oilseeds!D12</f>
        <v>17.428944999999999</v>
      </c>
      <c r="D8" s="300">
        <f>Oilseeds!E12</f>
        <v>16.46358</v>
      </c>
      <c r="E8" s="300">
        <f>Oilseeds!F12</f>
        <v>15.466136000000001</v>
      </c>
      <c r="F8" s="305">
        <f>Oilseeds!G12</f>
        <v>13.996165</v>
      </c>
      <c r="G8" s="305">
        <f>Oilseeds!H12</f>
        <v>18.585455</v>
      </c>
      <c r="H8" s="120">
        <f t="shared" si="0"/>
        <v>0.32789624872241796</v>
      </c>
      <c r="I8" s="311">
        <f t="shared" si="1"/>
        <v>16.388056200000001</v>
      </c>
      <c r="J8" s="120">
        <f t="shared" si="2"/>
        <v>0.13408538347580223</v>
      </c>
      <c r="K8" s="79" t="str">
        <f>Oilseeds!L8</f>
        <v>GTA (2019)</v>
      </c>
      <c r="L8" s="253" t="str">
        <f>Oilseeds!M8</f>
        <v>IHS Global Trade Atlas (GTA) (2019). Unpublished trade data accessed via subscription service. Last Accessed September 2019.</v>
      </c>
    </row>
    <row r="9" spans="1:12" x14ac:dyDescent="0.25">
      <c r="A9" s="252" t="s">
        <v>118</v>
      </c>
      <c r="B9" s="77" t="s">
        <v>11</v>
      </c>
      <c r="C9" s="300">
        <f>'Cotton Lint'!D11</f>
        <v>6.9431999999999994E-2</v>
      </c>
      <c r="D9" s="300">
        <f>'Cotton Lint'!E11</f>
        <v>8.1328999999999999E-2</v>
      </c>
      <c r="E9" s="300">
        <f>'Cotton Lint'!F11</f>
        <v>8.2172999999999996E-2</v>
      </c>
      <c r="F9" s="305">
        <f>'Cotton Lint'!G11</f>
        <v>4.5973E-2</v>
      </c>
      <c r="G9" s="305">
        <f>'Cotton Lint'!H11</f>
        <v>4.6691000000000003E-2</v>
      </c>
      <c r="H9" s="120">
        <f t="shared" si="0"/>
        <v>1.5617862658517057E-2</v>
      </c>
      <c r="I9" s="311">
        <f t="shared" si="1"/>
        <v>6.5119599999999986E-2</v>
      </c>
      <c r="J9" s="120">
        <f t="shared" si="2"/>
        <v>-0.28299621005043007</v>
      </c>
      <c r="K9" s="79" t="str">
        <f>'Cotton Lint'!L7</f>
        <v>GTA (2019)</v>
      </c>
      <c r="L9" s="253" t="str">
        <f>'Cotton Lint'!M7</f>
        <v>IHS Global Trade Atlas (GTA) (2019). Unpublished trade data accessed via subscription service. Last Accessed September 2019.</v>
      </c>
    </row>
    <row r="10" spans="1:12" x14ac:dyDescent="0.25">
      <c r="A10" s="252" t="s">
        <v>71</v>
      </c>
      <c r="B10" s="77" t="s">
        <v>11</v>
      </c>
      <c r="C10" s="300">
        <f>'Sugar Cane'!D11</f>
        <v>6.626214</v>
      </c>
      <c r="D10" s="300">
        <f>'Sugar Cane'!E11</f>
        <v>5.066211</v>
      </c>
      <c r="E10" s="300">
        <f>'Sugar Cane'!F11</f>
        <v>4.9748000000000001</v>
      </c>
      <c r="F10" s="305">
        <f>'Sugar Cane'!G11</f>
        <v>4.779217</v>
      </c>
      <c r="G10" s="305">
        <f>'Sugar Cane'!H11</f>
        <v>3.813806</v>
      </c>
      <c r="H10" s="120">
        <f t="shared" si="0"/>
        <v>-0.2020019178873862</v>
      </c>
      <c r="I10" s="311">
        <f t="shared" si="1"/>
        <v>5.0520496000000001</v>
      </c>
      <c r="J10" s="120">
        <f t="shared" si="2"/>
        <v>-0.24509727695468386</v>
      </c>
      <c r="K10" s="79" t="str">
        <f>'Sugar Cane'!L7</f>
        <v>GTA (2019)</v>
      </c>
      <c r="L10" s="253" t="str">
        <f>'Sugar Cane'!M7</f>
        <v>IHS Global Trade Atlas (GTA) (2019). Unpublished trade data accessed via subscription service. Last Accessed September 2019.</v>
      </c>
    </row>
    <row r="11" spans="1:12" ht="17.25" x14ac:dyDescent="0.25">
      <c r="A11" s="250" t="s">
        <v>549</v>
      </c>
      <c r="B11" s="72" t="s">
        <v>11</v>
      </c>
      <c r="C11" s="306">
        <f t="shared" ref="C11:E11" si="3">SUM(C12)</f>
        <v>912.44257600000003</v>
      </c>
      <c r="D11" s="306">
        <f t="shared" si="3"/>
        <v>992.74206200000003</v>
      </c>
      <c r="E11" s="306">
        <f t="shared" si="3"/>
        <v>1046.4110780000001</v>
      </c>
      <c r="F11" s="307">
        <f>SUM(F12)</f>
        <v>1015.723496</v>
      </c>
      <c r="G11" s="307">
        <f>SUM(G12)</f>
        <v>1109.990663</v>
      </c>
      <c r="H11" s="126">
        <f t="shared" si="0"/>
        <v>9.2807902319117064E-2</v>
      </c>
      <c r="I11" s="310">
        <f t="shared" si="1"/>
        <v>1015.4619750000002</v>
      </c>
      <c r="J11" s="126">
        <f t="shared" si="2"/>
        <v>9.3089342907202166E-2</v>
      </c>
      <c r="K11" s="79"/>
      <c r="L11" s="253"/>
    </row>
    <row r="12" spans="1:12" x14ac:dyDescent="0.25">
      <c r="A12" s="252" t="s">
        <v>119</v>
      </c>
      <c r="B12" s="77" t="s">
        <v>11</v>
      </c>
      <c r="C12" s="300">
        <f>Horticulture!D18</f>
        <v>912.44257600000003</v>
      </c>
      <c r="D12" s="300">
        <f>Horticulture!E18</f>
        <v>992.74206200000003</v>
      </c>
      <c r="E12" s="300">
        <f>Horticulture!F18</f>
        <v>1046.4110780000001</v>
      </c>
      <c r="F12" s="305">
        <f>Horticulture!G18</f>
        <v>1015.723496</v>
      </c>
      <c r="G12" s="305">
        <f>Horticulture!H18</f>
        <v>1109.990663</v>
      </c>
      <c r="H12" s="120">
        <f t="shared" si="0"/>
        <v>9.2807902319117064E-2</v>
      </c>
      <c r="I12" s="311">
        <f t="shared" si="1"/>
        <v>1015.4619750000002</v>
      </c>
      <c r="J12" s="120">
        <f t="shared" si="2"/>
        <v>9.3089342907202166E-2</v>
      </c>
      <c r="K12" s="79" t="str">
        <f>Horticulture!L14</f>
        <v>GTA (2019)</v>
      </c>
      <c r="L12" s="253" t="str">
        <f>Horticulture!M14</f>
        <v>IHS Global Trade Atlas (GTA) (2019). Unpublished trade data accessed via subscription service. Last Accessed September 2019.</v>
      </c>
    </row>
    <row r="13" spans="1:12" ht="17.25" x14ac:dyDescent="0.25">
      <c r="A13" s="252" t="s">
        <v>548</v>
      </c>
      <c r="B13" s="77" t="s">
        <v>11</v>
      </c>
      <c r="C13" s="300">
        <f>Wine!D11</f>
        <v>239.716013</v>
      </c>
      <c r="D13" s="300">
        <f>Wine!E11</f>
        <v>264.11461500000001</v>
      </c>
      <c r="E13" s="300">
        <f>Wine!F11</f>
        <v>231.198892</v>
      </c>
      <c r="F13" s="305">
        <f>Wine!G11</f>
        <v>248.96032600000001</v>
      </c>
      <c r="G13" s="305">
        <f>Wine!H11</f>
        <v>265.46900599999998</v>
      </c>
      <c r="H13" s="120">
        <f t="shared" si="0"/>
        <v>6.6310485149348564E-2</v>
      </c>
      <c r="I13" s="311">
        <f t="shared" si="1"/>
        <v>249.89177039999998</v>
      </c>
      <c r="J13" s="120">
        <f t="shared" si="2"/>
        <v>6.2335928770545834E-2</v>
      </c>
      <c r="K13" s="79" t="str">
        <f>Wine!L7</f>
        <v>GTA (2019)</v>
      </c>
      <c r="L13" s="253" t="str">
        <f>Wine!M7</f>
        <v>IHS Global Trade Atlas (GTA) (2019). Unpublished trade data accessed via subscription service. Last Accessed September 2019.</v>
      </c>
    </row>
    <row r="14" spans="1:12" x14ac:dyDescent="0.25">
      <c r="A14" s="254" t="s">
        <v>134</v>
      </c>
      <c r="B14" s="72" t="s">
        <v>11</v>
      </c>
      <c r="C14" s="306">
        <f>SUM(C15,C16,C17,C18,C19,C20,C21)</f>
        <v>185.12255700000003</v>
      </c>
      <c r="D14" s="306">
        <f>SUM(D15,D16,D17,D18,D19,D20,D21)</f>
        <v>169.865103</v>
      </c>
      <c r="E14" s="306">
        <f>SUM(E15,E16,E17,E18,E19,E20,E21)</f>
        <v>187.311466</v>
      </c>
      <c r="F14" s="307">
        <f>SUM(F15,F16,F17,F18,F19,F20,F21)</f>
        <v>169.04145199999996</v>
      </c>
      <c r="G14" s="307">
        <f>SUM(G15,G16,G17,G18,G19,G20,G21)</f>
        <v>187.00166199999998</v>
      </c>
      <c r="H14" s="126">
        <f t="shared" si="0"/>
        <v>0.10624737179848665</v>
      </c>
      <c r="I14" s="310">
        <f t="shared" si="1"/>
        <v>179.66844799999998</v>
      </c>
      <c r="J14" s="126">
        <f t="shared" si="2"/>
        <v>4.0815257668391558E-2</v>
      </c>
      <c r="K14" s="79"/>
      <c r="L14" s="253"/>
    </row>
    <row r="15" spans="1:12" x14ac:dyDescent="0.25">
      <c r="A15" s="252" t="s">
        <v>122</v>
      </c>
      <c r="B15" s="77" t="s">
        <v>11</v>
      </c>
      <c r="C15" s="300">
        <f>Beef!D16</f>
        <v>5.2785909999999996</v>
      </c>
      <c r="D15" s="300">
        <f>Beef!E16</f>
        <v>11.579556999999999</v>
      </c>
      <c r="E15" s="300">
        <f>Beef!F16</f>
        <v>10.305764</v>
      </c>
      <c r="F15" s="305">
        <f>Beef!G16</f>
        <v>5.4124499999999998</v>
      </c>
      <c r="G15" s="305">
        <f>Beef!H16</f>
        <v>6.2026190000000003</v>
      </c>
      <c r="H15" s="120">
        <f t="shared" si="0"/>
        <v>0.14599100222634864</v>
      </c>
      <c r="I15" s="311">
        <f t="shared" si="1"/>
        <v>7.7557962000000007</v>
      </c>
      <c r="J15" s="120">
        <f t="shared" si="2"/>
        <v>-0.20026018734220996</v>
      </c>
      <c r="K15" s="79" t="str">
        <f>Beef!L12</f>
        <v>GTA (2019)</v>
      </c>
      <c r="L15" s="253" t="str">
        <f>Beef!M12</f>
        <v>IHS Global Trade Atlas (GTA) (2019). Unpublished trade data accessed via subscription service. Last Accessed September 2019.</v>
      </c>
    </row>
    <row r="16" spans="1:12" x14ac:dyDescent="0.25">
      <c r="A16" s="252" t="s">
        <v>123</v>
      </c>
      <c r="B16" s="77" t="s">
        <v>11</v>
      </c>
      <c r="C16" s="300">
        <f>'Sheep Meat'!D13</f>
        <v>1.322651</v>
      </c>
      <c r="D16" s="300">
        <f>'Sheep Meat'!E13</f>
        <v>0.233379</v>
      </c>
      <c r="E16" s="300">
        <f>'Sheep Meat'!F13</f>
        <v>0.47567799999999999</v>
      </c>
      <c r="F16" s="305">
        <f>'Sheep Meat'!G13</f>
        <v>1.019326</v>
      </c>
      <c r="G16" s="305">
        <f>'Sheep Meat'!H13</f>
        <v>0.878969</v>
      </c>
      <c r="H16" s="120">
        <f t="shared" si="0"/>
        <v>-0.13769588924446152</v>
      </c>
      <c r="I16" s="311">
        <f t="shared" si="1"/>
        <v>0.78600060000000005</v>
      </c>
      <c r="J16" s="120">
        <f t="shared" si="2"/>
        <v>0.11828031683436357</v>
      </c>
      <c r="K16" s="79" t="str">
        <f>'Sheep Meat'!L9</f>
        <v>GTA (2019)</v>
      </c>
      <c r="L16" s="253" t="str">
        <f>'Sheep Meat'!M9</f>
        <v>IHS Global Trade Atlas (GTA) (2019). Unpublished trade data accessed via subscription service. Last Accessed September 2019.</v>
      </c>
    </row>
    <row r="17" spans="1:12" x14ac:dyDescent="0.25">
      <c r="A17" s="252" t="s">
        <v>125</v>
      </c>
      <c r="B17" s="77" t="s">
        <v>11</v>
      </c>
      <c r="C17" s="300">
        <f>Pork!D10</f>
        <v>172.98684600000001</v>
      </c>
      <c r="D17" s="300">
        <f>Pork!E10</f>
        <v>151.79041599999999</v>
      </c>
      <c r="E17" s="300">
        <f>Pork!F10</f>
        <v>169.791191</v>
      </c>
      <c r="F17" s="305">
        <f>Pork!G10</f>
        <v>154.54380499999999</v>
      </c>
      <c r="G17" s="305">
        <f>Pork!H10</f>
        <v>168.35336899999999</v>
      </c>
      <c r="H17" s="120">
        <f t="shared" si="0"/>
        <v>8.9356956107040197E-2</v>
      </c>
      <c r="I17" s="311">
        <f t="shared" si="1"/>
        <v>163.4931254</v>
      </c>
      <c r="J17" s="120">
        <f t="shared" si="2"/>
        <v>2.972751048772837E-2</v>
      </c>
      <c r="K17" s="79" t="str">
        <f>Pork!L6</f>
        <v>GTA (2019)</v>
      </c>
      <c r="L17" s="253" t="str">
        <f>Pork!M6</f>
        <v>IHS Global Trade Atlas (GTA) (2019). Unpublished trade data accessed via subscription service. Last Accessed September 2019.</v>
      </c>
    </row>
    <row r="18" spans="1:12" x14ac:dyDescent="0.25">
      <c r="A18" s="252" t="s">
        <v>74</v>
      </c>
      <c r="B18" s="77" t="s">
        <v>11</v>
      </c>
      <c r="C18" s="300">
        <f>Poultry!D10</f>
        <v>0</v>
      </c>
      <c r="D18" s="300">
        <f>Poultry!E10</f>
        <v>0</v>
      </c>
      <c r="E18" s="300">
        <f>Poultry!F10</f>
        <v>0</v>
      </c>
      <c r="F18" s="305">
        <f>Poultry!G10</f>
        <v>2.269962</v>
      </c>
      <c r="G18" s="305">
        <f>Poultry!H10</f>
        <v>3.334924</v>
      </c>
      <c r="H18" s="120">
        <f t="shared" si="0"/>
        <v>0.46915410918773093</v>
      </c>
      <c r="I18" s="311">
        <f t="shared" si="1"/>
        <v>1.1209772</v>
      </c>
      <c r="J18" s="120">
        <f t="shared" si="2"/>
        <v>1.975015013686273</v>
      </c>
      <c r="K18" s="79" t="str">
        <f>Poultry!L6</f>
        <v>GTA (2019)</v>
      </c>
      <c r="L18" s="253" t="str">
        <f>Poultry!M6</f>
        <v>IHS Global Trade Atlas (GTA) (2019). Unpublished trade data accessed via subscription service. Last Accessed September 2019.</v>
      </c>
    </row>
    <row r="19" spans="1:12" x14ac:dyDescent="0.25">
      <c r="A19" s="252" t="s">
        <v>76</v>
      </c>
      <c r="B19" s="77" t="s">
        <v>11</v>
      </c>
      <c r="C19" s="300">
        <f>Wool!D11</f>
        <v>0.201822</v>
      </c>
      <c r="D19" s="300">
        <f>Wool!E11</f>
        <v>0.17716799999999999</v>
      </c>
      <c r="E19" s="300">
        <f>Wool!F11</f>
        <v>0.116647</v>
      </c>
      <c r="F19" s="305">
        <f>Wool!G11</f>
        <v>4.8207E-2</v>
      </c>
      <c r="G19" s="305">
        <f>Wool!H11</f>
        <v>5.6031999999999998E-2</v>
      </c>
      <c r="H19" s="120">
        <f t="shared" si="0"/>
        <v>0.16232082477648468</v>
      </c>
      <c r="I19" s="311">
        <f t="shared" si="1"/>
        <v>0.11997519999999999</v>
      </c>
      <c r="J19" s="120">
        <f t="shared" si="2"/>
        <v>-0.53297014716374713</v>
      </c>
      <c r="K19" s="79" t="str">
        <f>Wool!L7</f>
        <v>GTA (2019)</v>
      </c>
      <c r="L19" s="253" t="str">
        <f>Wool!M7</f>
        <v>IHS Global Trade Atlas (GTA) (2019). Unpublished trade data accessed via subscription service. Last Accessed September 2019.</v>
      </c>
    </row>
    <row r="20" spans="1:12" x14ac:dyDescent="0.25">
      <c r="A20" s="252" t="s">
        <v>78</v>
      </c>
      <c r="B20" s="77" t="s">
        <v>11</v>
      </c>
      <c r="C20" s="300">
        <f>Eggs!D12</f>
        <v>3.630887</v>
      </c>
      <c r="D20" s="300">
        <f>Eggs!E12</f>
        <v>4.2390340000000002</v>
      </c>
      <c r="E20" s="300">
        <f>Eggs!F12</f>
        <v>5.6820490000000001</v>
      </c>
      <c r="F20" s="305">
        <f>Eggs!G12</f>
        <v>4.566268</v>
      </c>
      <c r="G20" s="305">
        <f>Eggs!H12</f>
        <v>6.836201</v>
      </c>
      <c r="H20" s="120">
        <f t="shared" si="0"/>
        <v>0.49710901769234739</v>
      </c>
      <c r="I20" s="311">
        <f t="shared" si="1"/>
        <v>4.9908878000000003</v>
      </c>
      <c r="J20" s="120">
        <f t="shared" si="2"/>
        <v>0.36973646251875247</v>
      </c>
      <c r="K20" s="79" t="str">
        <f>Eggs!L8</f>
        <v>GTA (2019)</v>
      </c>
      <c r="L20" s="253" t="str">
        <f>Eggs!M8</f>
        <v>IHS Global Trade Atlas (GTA) (2019). Unpublished trade data accessed via subscription service. Last Accessed September 2019.</v>
      </c>
    </row>
    <row r="21" spans="1:12" x14ac:dyDescent="0.25">
      <c r="A21" s="252" t="s">
        <v>77</v>
      </c>
      <c r="B21" s="77" t="s">
        <v>11</v>
      </c>
      <c r="C21" s="300">
        <f>Milk!D13</f>
        <v>1.7017599999999999</v>
      </c>
      <c r="D21" s="300">
        <f>Milk!E13</f>
        <v>1.8455490000000001</v>
      </c>
      <c r="E21" s="300">
        <f>Milk!F13</f>
        <v>0.940137</v>
      </c>
      <c r="F21" s="305">
        <f>Milk!G13</f>
        <v>1.1814340000000001</v>
      </c>
      <c r="G21" s="305">
        <f>Milk!H13</f>
        <v>1.339548</v>
      </c>
      <c r="H21" s="120">
        <f t="shared" si="0"/>
        <v>0.13383227501493944</v>
      </c>
      <c r="I21" s="311">
        <f t="shared" si="1"/>
        <v>1.4016856</v>
      </c>
      <c r="J21" s="120">
        <f t="shared" si="2"/>
        <v>-4.4330625926384593E-2</v>
      </c>
      <c r="K21" s="79" t="str">
        <f>Milk!L9</f>
        <v>GTA (2019)</v>
      </c>
      <c r="L21" s="253" t="str">
        <f>Milk!M9</f>
        <v>IHS Global Trade Atlas (GTA) (2019). Unpublished trade data accessed via subscription service. Last Accessed September 2019.</v>
      </c>
    </row>
    <row r="22" spans="1:12" x14ac:dyDescent="0.25">
      <c r="A22" s="250" t="s">
        <v>135</v>
      </c>
      <c r="B22" s="72" t="s">
        <v>11</v>
      </c>
      <c r="C22" s="306">
        <f>SUM(C23,C24)</f>
        <v>676.89798599999995</v>
      </c>
      <c r="D22" s="306">
        <f>SUM(D23,D24)</f>
        <v>700.32607099999996</v>
      </c>
      <c r="E22" s="306">
        <f>SUM(E23,E24)</f>
        <v>692.30825499999992</v>
      </c>
      <c r="F22" s="307">
        <f>SUM(F23,F24)</f>
        <v>728.48525099999995</v>
      </c>
      <c r="G22" s="307">
        <f>SUM(G23,G24)</f>
        <v>783.95714699999996</v>
      </c>
      <c r="H22" s="126">
        <f t="shared" si="0"/>
        <v>7.6146903350277961E-2</v>
      </c>
      <c r="I22" s="310">
        <f t="shared" si="1"/>
        <v>716.39494200000001</v>
      </c>
      <c r="J22" s="126">
        <f t="shared" si="2"/>
        <v>9.4308601358048083E-2</v>
      </c>
      <c r="K22" s="79"/>
      <c r="L22" s="253"/>
    </row>
    <row r="23" spans="1:12" x14ac:dyDescent="0.25">
      <c r="A23" s="252" t="s">
        <v>126</v>
      </c>
      <c r="B23" s="77" t="s">
        <v>11</v>
      </c>
      <c r="C23" s="300">
        <f>Forestry!D15</f>
        <v>136.73294000000001</v>
      </c>
      <c r="D23" s="300">
        <f>Forestry!E15</f>
        <v>121.351782</v>
      </c>
      <c r="E23" s="300">
        <f>Forestry!F15</f>
        <v>120.193285</v>
      </c>
      <c r="F23" s="305">
        <f>Forestry!G15</f>
        <v>134.63360599999999</v>
      </c>
      <c r="G23" s="305">
        <f>Forestry!H15</f>
        <v>135.98905999999999</v>
      </c>
      <c r="H23" s="120">
        <f t="shared" si="0"/>
        <v>1.0067724101514575E-2</v>
      </c>
      <c r="I23" s="311">
        <f t="shared" si="1"/>
        <v>129.7801346</v>
      </c>
      <c r="J23" s="120">
        <f t="shared" si="2"/>
        <v>4.7841878259232473E-2</v>
      </c>
      <c r="K23" s="79" t="str">
        <f>Forestry!L11</f>
        <v>GTA (2019)</v>
      </c>
      <c r="L23" s="253" t="str">
        <f>Forestry!M11</f>
        <v>IHS Global Trade Atlas (GTA) (2019). Unpublished trade data accessed via subscription service. Last Accessed September 2019.</v>
      </c>
    </row>
    <row r="24" spans="1:12" x14ac:dyDescent="0.25">
      <c r="A24" s="252" t="s">
        <v>129</v>
      </c>
      <c r="B24" s="77" t="s">
        <v>11</v>
      </c>
      <c r="C24" s="300">
        <f>Fisheries!D12</f>
        <v>540.16504599999996</v>
      </c>
      <c r="D24" s="300">
        <f>Fisheries!E12</f>
        <v>578.974289</v>
      </c>
      <c r="E24" s="300">
        <f>Fisheries!F12</f>
        <v>572.11496999999997</v>
      </c>
      <c r="F24" s="305">
        <f>Fisheries!G12</f>
        <v>593.85164499999996</v>
      </c>
      <c r="G24" s="305">
        <f>Fisheries!H12</f>
        <v>647.96808699999997</v>
      </c>
      <c r="H24" s="120">
        <f t="shared" si="0"/>
        <v>9.1127880937334149E-2</v>
      </c>
      <c r="I24" s="311">
        <f t="shared" si="1"/>
        <v>586.61480740000002</v>
      </c>
      <c r="J24" s="120">
        <f t="shared" si="2"/>
        <v>0.10458869913620239</v>
      </c>
      <c r="K24" s="79" t="str">
        <f>Fisheries!L8</f>
        <v>GTA (2019)</v>
      </c>
      <c r="L24" s="253" t="str">
        <f>Fisheries!M8</f>
        <v>IHS Global Trade Atlas (GTA) (2019). Unpublished trade data accessed via subscription service. Last Accessed September 2019.</v>
      </c>
    </row>
    <row r="25" spans="1:12" ht="17.25" x14ac:dyDescent="0.25">
      <c r="A25" s="250" t="s">
        <v>544</v>
      </c>
      <c r="B25" s="72" t="s">
        <v>11</v>
      </c>
      <c r="C25" s="306">
        <f>'Other Crops'!D7</f>
        <v>161.75140999999985</v>
      </c>
      <c r="D25" s="306">
        <f>'Other Crops'!E7</f>
        <v>176.92171599999983</v>
      </c>
      <c r="E25" s="306">
        <f>'Other Crops'!F7</f>
        <v>167.23360999999977</v>
      </c>
      <c r="F25" s="307">
        <f>'Other Crops'!G7</f>
        <v>164.22404899999992</v>
      </c>
      <c r="G25" s="307">
        <f>'Other Crops'!H7</f>
        <v>181.91978600000039</v>
      </c>
      <c r="H25" s="126">
        <f t="shared" si="0"/>
        <v>0.10775362748485429</v>
      </c>
      <c r="I25" s="310">
        <f t="shared" si="1"/>
        <v>170.41011419999995</v>
      </c>
      <c r="J25" s="126">
        <f t="shared" si="2"/>
        <v>6.7541013360816304E-2</v>
      </c>
      <c r="K25" s="79" t="str">
        <f>Fisheries!L13</f>
        <v>GTA (2019)</v>
      </c>
      <c r="L25" s="253" t="str">
        <f>Fisheries!M13</f>
        <v>IHS Global Trade Atlas (GTA) (2019). Unpublished trade data accessed via subscription service. Last Accessed September 2019.</v>
      </c>
    </row>
    <row r="26" spans="1:12" x14ac:dyDescent="0.25">
      <c r="A26" s="257" t="s">
        <v>155</v>
      </c>
      <c r="B26" s="286" t="s">
        <v>11</v>
      </c>
      <c r="C26" s="308">
        <v>2050.6164899999999</v>
      </c>
      <c r="D26" s="308">
        <v>2157.857665</v>
      </c>
      <c r="E26" s="308">
        <v>2203.2508699999998</v>
      </c>
      <c r="F26" s="309">
        <v>2192.8351499999999</v>
      </c>
      <c r="G26" s="309">
        <v>2437.6231120000002</v>
      </c>
      <c r="H26" s="287">
        <f t="shared" si="0"/>
        <v>0.11163080909205614</v>
      </c>
      <c r="I26" s="312">
        <f t="shared" si="1"/>
        <v>2208.4366574000001</v>
      </c>
      <c r="J26" s="287">
        <f t="shared" si="2"/>
        <v>0.10377768990206038</v>
      </c>
      <c r="K26" s="261"/>
      <c r="L26" s="262"/>
    </row>
    <row r="27" spans="1:12" x14ac:dyDescent="0.25">
      <c r="A27" s="53" t="s">
        <v>80</v>
      </c>
    </row>
    <row r="28" spans="1:12" ht="17.25" x14ac:dyDescent="0.25">
      <c r="A28" s="49" t="s">
        <v>527</v>
      </c>
      <c r="B28"/>
      <c r="C28"/>
      <c r="D28"/>
      <c r="E28"/>
      <c r="F28"/>
      <c r="G28"/>
      <c r="H28" s="96"/>
      <c r="I28" s="96"/>
      <c r="J28" s="96"/>
    </row>
    <row r="29" spans="1:12" ht="17.25" x14ac:dyDescent="0.25">
      <c r="A29" s="2" t="s">
        <v>528</v>
      </c>
      <c r="B29"/>
      <c r="C29"/>
      <c r="D29"/>
      <c r="E29"/>
      <c r="F29"/>
      <c r="G29"/>
      <c r="H29" s="96"/>
      <c r="I29" s="96"/>
      <c r="J29" s="96"/>
    </row>
    <row r="30" spans="1:12" ht="17.25" x14ac:dyDescent="0.25">
      <c r="A30" s="81" t="s">
        <v>529</v>
      </c>
      <c r="B30"/>
      <c r="C30"/>
      <c r="D30"/>
      <c r="E30"/>
      <c r="F30"/>
      <c r="G30"/>
      <c r="H30" s="96"/>
      <c r="I30" s="96"/>
      <c r="J30" s="96"/>
      <c r="K30" s="96"/>
      <c r="L30" s="96"/>
    </row>
    <row r="31" spans="1:12" x14ac:dyDescent="0.25">
      <c r="B31"/>
      <c r="C31"/>
      <c r="D31"/>
      <c r="E31"/>
      <c r="F31"/>
      <c r="G31"/>
      <c r="H31" s="96"/>
      <c r="I31" s="96"/>
      <c r="J31" s="96"/>
      <c r="K31" s="96"/>
      <c r="L31" s="96"/>
    </row>
    <row r="32" spans="1:12" x14ac:dyDescent="0.25">
      <c r="H32" s="96"/>
      <c r="I32" s="96"/>
      <c r="J32" s="96"/>
      <c r="K32" s="96"/>
      <c r="L32" s="96"/>
    </row>
    <row r="33" spans="1:13" x14ac:dyDescent="0.25">
      <c r="A33" s="244" t="s">
        <v>156</v>
      </c>
      <c r="B33" s="245" t="s">
        <v>1</v>
      </c>
      <c r="C33" s="245" t="str">
        <f t="shared" ref="C33:F33" si="4">+C1</f>
        <v>2014-15</v>
      </c>
      <c r="D33" s="245" t="str">
        <f t="shared" si="4"/>
        <v>2015-16</v>
      </c>
      <c r="E33" s="245" t="str">
        <f t="shared" si="4"/>
        <v>2016-17</v>
      </c>
      <c r="F33" s="245" t="str">
        <f t="shared" si="4"/>
        <v>2017-18</v>
      </c>
      <c r="G33" s="288" t="str">
        <f>+G1</f>
        <v>2018-19e</v>
      </c>
      <c r="H33" s="96"/>
      <c r="I33" s="96"/>
      <c r="J33" s="313"/>
      <c r="K33" s="313"/>
      <c r="L33" s="313"/>
      <c r="M33" s="314"/>
    </row>
    <row r="34" spans="1:13" x14ac:dyDescent="0.25">
      <c r="A34" s="250" t="s">
        <v>133</v>
      </c>
      <c r="B34" s="72" t="s">
        <v>11</v>
      </c>
      <c r="C34" s="303">
        <f>SUM(C35,C36,C37,C38,C39,C40,C41,C42)</f>
        <v>1429.0447039999999</v>
      </c>
      <c r="D34" s="303">
        <f>SUM(D35,D36,D37,D38,D39,D40,D41,D42)</f>
        <v>1521.904323</v>
      </c>
      <c r="E34" s="303">
        <f>SUM(E35,E36,E37,E38,E39,E40,E41,E42)</f>
        <v>2647.9987989999995</v>
      </c>
      <c r="F34" s="304">
        <f>SUM(F35,F36,F37,F38,F39,F40,F41,F42)</f>
        <v>1023.8606249999999</v>
      </c>
      <c r="G34" s="315">
        <f>SUM(G35,G36,G37,G38,G39,G40,G41,G42)</f>
        <v>16.995459000000004</v>
      </c>
      <c r="H34" s="96"/>
      <c r="I34" s="96"/>
      <c r="J34" s="313"/>
      <c r="K34" s="313"/>
      <c r="L34" s="313"/>
      <c r="M34" s="314"/>
    </row>
    <row r="35" spans="1:13" x14ac:dyDescent="0.25">
      <c r="A35" s="252" t="s">
        <v>65</v>
      </c>
      <c r="B35" s="77" t="s">
        <v>11</v>
      </c>
      <c r="C35" s="300">
        <f>Wheat!D12</f>
        <v>488.99812900000001</v>
      </c>
      <c r="D35" s="300">
        <f>Wheat!E12</f>
        <v>452.97194100000002</v>
      </c>
      <c r="E35" s="300">
        <f>Wheat!F12</f>
        <v>1189.491898</v>
      </c>
      <c r="F35" s="305">
        <f>Wheat!G12</f>
        <v>491.06629499999997</v>
      </c>
      <c r="G35" s="316">
        <f>Wheat!H12</f>
        <v>51.438068000000008</v>
      </c>
      <c r="H35" s="96"/>
      <c r="I35" s="96"/>
      <c r="J35" s="313"/>
      <c r="K35" s="313"/>
      <c r="L35" s="313"/>
      <c r="M35" s="314"/>
    </row>
    <row r="36" spans="1:13" ht="17.25" x14ac:dyDescent="0.25">
      <c r="A36" s="252" t="s">
        <v>547</v>
      </c>
      <c r="B36" s="77" t="s">
        <v>11</v>
      </c>
      <c r="C36" s="300">
        <f>Barley!D12</f>
        <v>-0.200826</v>
      </c>
      <c r="D36" s="300">
        <f>Barley!E12</f>
        <v>-0.15180199999999999</v>
      </c>
      <c r="E36" s="300">
        <f>Barley!F12</f>
        <v>-0.120229</v>
      </c>
      <c r="F36" s="305">
        <f>Barley!G12</f>
        <v>-0.14982400000000001</v>
      </c>
      <c r="G36" s="316">
        <f>Barley!H12</f>
        <v>7.8838000000000019E-2</v>
      </c>
      <c r="H36" s="96"/>
      <c r="I36" s="96"/>
      <c r="J36" s="313"/>
      <c r="K36" s="313"/>
      <c r="L36" s="313"/>
      <c r="M36" s="314"/>
    </row>
    <row r="37" spans="1:13" x14ac:dyDescent="0.25">
      <c r="A37" s="252" t="s">
        <v>67</v>
      </c>
      <c r="B37" s="77" t="s">
        <v>11</v>
      </c>
      <c r="C37" s="300">
        <f>Rice!D12</f>
        <v>-37.927569999999996</v>
      </c>
      <c r="D37" s="300">
        <f>Rice!E12</f>
        <v>-60.340856000000002</v>
      </c>
      <c r="E37" s="300">
        <f>Rice!F12</f>
        <v>-40.682298999999993</v>
      </c>
      <c r="F37" s="305">
        <f>Rice!G12</f>
        <v>-35.828379000000005</v>
      </c>
      <c r="G37" s="316">
        <f>Rice!H12</f>
        <v>-81.248632000000001</v>
      </c>
      <c r="H37" s="96"/>
      <c r="I37" s="96"/>
      <c r="J37" s="313"/>
      <c r="K37" s="313"/>
      <c r="L37" s="313"/>
      <c r="M37" s="314"/>
    </row>
    <row r="38" spans="1:13" x14ac:dyDescent="0.25">
      <c r="A38" s="252" t="s">
        <v>68</v>
      </c>
      <c r="B38" s="77" t="s">
        <v>11</v>
      </c>
      <c r="C38" s="300">
        <f>Sorghum!D12</f>
        <v>31.989968999999999</v>
      </c>
      <c r="D38" s="300">
        <f>Sorghum!E12</f>
        <v>64.984473000000008</v>
      </c>
      <c r="E38" s="300">
        <f>Sorghum!F12</f>
        <v>49.015428</v>
      </c>
      <c r="F38" s="305">
        <f>Sorghum!G12</f>
        <v>55.497073</v>
      </c>
      <c r="G38" s="316">
        <f>Sorghum!H12</f>
        <v>5.5922729999999996</v>
      </c>
      <c r="H38" s="96"/>
      <c r="I38" s="96"/>
      <c r="J38" s="313"/>
      <c r="K38" s="313"/>
      <c r="L38" s="313"/>
      <c r="M38" s="314"/>
    </row>
    <row r="39" spans="1:13" x14ac:dyDescent="0.25">
      <c r="A39" s="252" t="s">
        <v>70</v>
      </c>
      <c r="B39" s="77" t="s">
        <v>11</v>
      </c>
      <c r="C39" s="300">
        <f>Pulses!D13</f>
        <v>160.419299</v>
      </c>
      <c r="D39" s="300">
        <f>Pulses!E13</f>
        <v>353.64178800000002</v>
      </c>
      <c r="E39" s="300">
        <f>Pulses!F13</f>
        <v>518.79995899999994</v>
      </c>
      <c r="F39" s="305">
        <f>Pulses!G13</f>
        <v>316.73001099999999</v>
      </c>
      <c r="G39" s="316">
        <f>Pulses!H13</f>
        <v>43.410116000000002</v>
      </c>
      <c r="H39" s="96"/>
      <c r="I39" s="96"/>
      <c r="J39" s="313"/>
      <c r="K39" s="313"/>
      <c r="L39" s="313"/>
      <c r="M39" s="314"/>
    </row>
    <row r="40" spans="1:13" x14ac:dyDescent="0.25">
      <c r="A40" s="252" t="s">
        <v>69</v>
      </c>
      <c r="B40" s="77" t="s">
        <v>11</v>
      </c>
      <c r="C40" s="300">
        <f>Oilseeds!D13</f>
        <v>114.05441200000001</v>
      </c>
      <c r="D40" s="300">
        <f>Oilseeds!E13</f>
        <v>120.030362</v>
      </c>
      <c r="E40" s="300">
        <f>Oilseeds!F13</f>
        <v>201.64706100000001</v>
      </c>
      <c r="F40" s="305">
        <f>Oilseeds!G13</f>
        <v>22.729185000000001</v>
      </c>
      <c r="G40" s="316">
        <f>Oilseeds!H13</f>
        <v>-0.38667200000000079</v>
      </c>
      <c r="H40" s="96"/>
      <c r="I40" s="96"/>
      <c r="J40" s="313"/>
      <c r="K40" s="313"/>
      <c r="L40" s="313"/>
      <c r="M40" s="314"/>
    </row>
    <row r="41" spans="1:13" ht="17.25" x14ac:dyDescent="0.25">
      <c r="A41" s="285" t="s">
        <v>546</v>
      </c>
      <c r="B41" s="77" t="s">
        <v>11</v>
      </c>
      <c r="C41" s="300">
        <f>'Cotton Lint'!D12</f>
        <v>676.01479199999994</v>
      </c>
      <c r="D41" s="300">
        <f>'Cotton Lint'!E12</f>
        <v>592.75388099999998</v>
      </c>
      <c r="E41" s="300">
        <f>'Cotton Lint'!F12</f>
        <v>731.59640400000001</v>
      </c>
      <c r="F41" s="305">
        <f>'Cotton Lint'!G12</f>
        <v>177.00573900000001</v>
      </c>
      <c r="G41" s="316" t="str">
        <f>'Cotton Lint'!H12</f>
        <v>N/A</v>
      </c>
      <c r="H41" s="96"/>
      <c r="I41" s="96"/>
      <c r="J41" s="313"/>
      <c r="K41" s="313"/>
      <c r="L41" s="313"/>
      <c r="M41" s="314"/>
    </row>
    <row r="42" spans="1:13" x14ac:dyDescent="0.25">
      <c r="A42" s="252" t="s">
        <v>71</v>
      </c>
      <c r="B42" s="77" t="s">
        <v>11</v>
      </c>
      <c r="C42" s="300">
        <f>'Sugar Cane'!D12</f>
        <v>-4.3035010000000007</v>
      </c>
      <c r="D42" s="300">
        <f>'Sugar Cane'!E12</f>
        <v>-1.9854639999999999</v>
      </c>
      <c r="E42" s="300">
        <f>'Sugar Cane'!F12</f>
        <v>-1.7494230000000002</v>
      </c>
      <c r="F42" s="305">
        <f>'Sugar Cane'!G12</f>
        <v>-3.1894749999999998</v>
      </c>
      <c r="G42" s="316">
        <f>'Sugar Cane'!H12</f>
        <v>-1.8885320000000001</v>
      </c>
      <c r="H42" s="96"/>
      <c r="I42" s="96"/>
      <c r="J42" s="313"/>
      <c r="K42" s="313"/>
      <c r="L42" s="313"/>
      <c r="M42" s="314"/>
    </row>
    <row r="43" spans="1:13" ht="17.25" x14ac:dyDescent="0.25">
      <c r="A43" s="250" t="s">
        <v>549</v>
      </c>
      <c r="B43" s="72" t="s">
        <v>11</v>
      </c>
      <c r="C43" s="306">
        <f t="shared" ref="C43" si="5">SUM(C44)</f>
        <v>-700.23251800000003</v>
      </c>
      <c r="D43" s="306">
        <f t="shared" ref="D43" si="6">SUM(D44)</f>
        <v>-752.90532200000007</v>
      </c>
      <c r="E43" s="306">
        <f t="shared" ref="E43" si="7">SUM(E44)</f>
        <v>-721.0057700000001</v>
      </c>
      <c r="F43" s="307">
        <f>SUM(F44)</f>
        <v>-650.76572599999997</v>
      </c>
      <c r="G43" s="317">
        <f>SUM(G44)</f>
        <v>-651.76311200000009</v>
      </c>
      <c r="H43" s="96"/>
      <c r="I43" s="96"/>
      <c r="J43" s="313"/>
      <c r="K43" s="313"/>
      <c r="L43" s="313"/>
      <c r="M43" s="314"/>
    </row>
    <row r="44" spans="1:13" x14ac:dyDescent="0.25">
      <c r="A44" s="252" t="s">
        <v>119</v>
      </c>
      <c r="B44" s="77" t="s">
        <v>11</v>
      </c>
      <c r="C44" s="300">
        <f>Horticulture!D19</f>
        <v>-700.23251800000003</v>
      </c>
      <c r="D44" s="300">
        <f>Horticulture!E19</f>
        <v>-752.90532200000007</v>
      </c>
      <c r="E44" s="300">
        <f>Horticulture!F19</f>
        <v>-721.0057700000001</v>
      </c>
      <c r="F44" s="305">
        <f>Horticulture!G19</f>
        <v>-650.76572599999997</v>
      </c>
      <c r="G44" s="316">
        <f>Horticulture!H19</f>
        <v>-651.76311200000009</v>
      </c>
      <c r="H44" s="96"/>
      <c r="I44" s="96"/>
      <c r="J44" s="313"/>
      <c r="K44" s="313"/>
      <c r="L44" s="313"/>
      <c r="M44" s="314"/>
    </row>
    <row r="45" spans="1:13" ht="17.25" x14ac:dyDescent="0.25">
      <c r="A45" s="252" t="s">
        <v>548</v>
      </c>
      <c r="B45" s="77" t="s">
        <v>11</v>
      </c>
      <c r="C45" s="300">
        <f>Wine!D12</f>
        <v>250.43213</v>
      </c>
      <c r="D45" s="300">
        <f>Wine!E12</f>
        <v>242.68404299999997</v>
      </c>
      <c r="E45" s="300">
        <f>Wine!F12</f>
        <v>276.45792499999999</v>
      </c>
      <c r="F45" s="305">
        <f>Wine!G12</f>
        <v>270.68758800000001</v>
      </c>
      <c r="G45" s="316">
        <f>Wine!H12</f>
        <v>274.37895900000007</v>
      </c>
      <c r="H45" s="96"/>
      <c r="I45" s="96"/>
      <c r="J45" s="313"/>
      <c r="K45" s="313"/>
      <c r="L45" s="313"/>
      <c r="M45" s="314"/>
    </row>
    <row r="46" spans="1:13" x14ac:dyDescent="0.25">
      <c r="A46" s="254" t="s">
        <v>134</v>
      </c>
      <c r="B46" s="72" t="s">
        <v>11</v>
      </c>
      <c r="C46" s="306">
        <f>SUM(C47,C48,C49,C50,C51,C52,C53)</f>
        <v>2683.4681449999998</v>
      </c>
      <c r="D46" s="306">
        <f>SUM(D47,D48,D49,D50,D51,D52,D53)</f>
        <v>2509.4147759999996</v>
      </c>
      <c r="E46" s="306">
        <f>SUM(E47,E48,E49,E50,E51,E52,E53)</f>
        <v>2415.244318</v>
      </c>
      <c r="F46" s="307">
        <f>SUM(F47,F48,F49,F50,F51,F52,F53)</f>
        <v>2998.2451230000001</v>
      </c>
      <c r="G46" s="317">
        <f>SUM(G47,G48,G49,G50,G51,G52,G53)</f>
        <v>3427.7207790000007</v>
      </c>
      <c r="H46" s="96"/>
      <c r="I46" s="96"/>
      <c r="J46" s="313"/>
      <c r="K46" s="313"/>
      <c r="L46" s="313"/>
      <c r="M46" s="314"/>
    </row>
    <row r="47" spans="1:13" x14ac:dyDescent="0.25">
      <c r="A47" s="252" t="s">
        <v>122</v>
      </c>
      <c r="B47" s="77" t="s">
        <v>11</v>
      </c>
      <c r="C47" s="300">
        <f>Beef!D17</f>
        <v>1717.2025490000001</v>
      </c>
      <c r="D47" s="300">
        <f>Beef!E17</f>
        <v>1565.874881</v>
      </c>
      <c r="E47" s="300">
        <f>Beef!F17</f>
        <v>1293.2357240000001</v>
      </c>
      <c r="F47" s="305">
        <f>Beef!G17</f>
        <v>1474.0732760000001</v>
      </c>
      <c r="G47" s="316">
        <f>Beef!H17</f>
        <v>1796.1312810000002</v>
      </c>
      <c r="H47" s="96"/>
      <c r="I47" s="96"/>
      <c r="J47" s="313"/>
      <c r="K47" s="313"/>
      <c r="L47" s="313"/>
      <c r="M47" s="314"/>
    </row>
    <row r="48" spans="1:13" x14ac:dyDescent="0.25">
      <c r="A48" s="252" t="s">
        <v>123</v>
      </c>
      <c r="B48" s="77" t="s">
        <v>11</v>
      </c>
      <c r="C48" s="300">
        <f>'Sheep Meat'!D14</f>
        <v>498.42566199999999</v>
      </c>
      <c r="D48" s="300">
        <f>'Sheep Meat'!E14</f>
        <v>463.67557299999999</v>
      </c>
      <c r="E48" s="300">
        <f>'Sheep Meat'!F14</f>
        <v>560.81855199999995</v>
      </c>
      <c r="F48" s="305">
        <f>'Sheep Meat'!G14</f>
        <v>740.01191600000004</v>
      </c>
      <c r="G48" s="316">
        <f>'Sheep Meat'!H14</f>
        <v>926.17331899999999</v>
      </c>
      <c r="H48" s="96"/>
      <c r="I48" s="96"/>
      <c r="J48" s="313"/>
      <c r="K48" s="313"/>
      <c r="L48" s="313"/>
      <c r="M48" s="314"/>
    </row>
    <row r="49" spans="1:13" x14ac:dyDescent="0.25">
      <c r="A49" s="252" t="s">
        <v>125</v>
      </c>
      <c r="B49" s="77" t="s">
        <v>11</v>
      </c>
      <c r="C49" s="300">
        <f>Pork!D11</f>
        <v>-154.78241400000002</v>
      </c>
      <c r="D49" s="300">
        <f>Pork!E11</f>
        <v>-126.81135399999999</v>
      </c>
      <c r="E49" s="300">
        <f>Pork!F11</f>
        <v>-140.40614500000001</v>
      </c>
      <c r="F49" s="305">
        <f>Pork!G11</f>
        <v>-123.35410199999998</v>
      </c>
      <c r="G49" s="316">
        <f>Pork!H11</f>
        <v>-138.274361</v>
      </c>
      <c r="H49" s="96"/>
      <c r="I49" s="96"/>
      <c r="J49" s="313"/>
      <c r="K49" s="313"/>
      <c r="L49" s="313"/>
      <c r="M49" s="314"/>
    </row>
    <row r="50" spans="1:13" x14ac:dyDescent="0.25">
      <c r="A50" s="252" t="s">
        <v>74</v>
      </c>
      <c r="B50" s="77" t="s">
        <v>11</v>
      </c>
      <c r="C50" s="300">
        <f>Poultry!D11</f>
        <v>14.773712</v>
      </c>
      <c r="D50" s="300">
        <f>Poultry!E11</f>
        <v>17.501463000000001</v>
      </c>
      <c r="E50" s="300">
        <f>Poultry!F11</f>
        <v>21.813934</v>
      </c>
      <c r="F50" s="305">
        <f>Poultry!G11</f>
        <v>20.638698999999999</v>
      </c>
      <c r="G50" s="316">
        <f>Poultry!H11</f>
        <v>18.763016</v>
      </c>
      <c r="H50" s="96"/>
      <c r="I50" s="96"/>
      <c r="J50" s="313"/>
      <c r="K50" s="313"/>
      <c r="L50" s="313"/>
      <c r="M50" s="314"/>
    </row>
    <row r="51" spans="1:13" x14ac:dyDescent="0.25">
      <c r="A51" s="252" t="s">
        <v>76</v>
      </c>
      <c r="B51" s="77" t="s">
        <v>11</v>
      </c>
      <c r="C51" s="300">
        <f>Wool!D12</f>
        <v>604.51752799999997</v>
      </c>
      <c r="D51" s="300">
        <f>Wool!E12</f>
        <v>583.46684799999991</v>
      </c>
      <c r="E51" s="300">
        <f>Wool!F12</f>
        <v>672.95083600000009</v>
      </c>
      <c r="F51" s="305">
        <f>Wool!G12</f>
        <v>870.79723799999999</v>
      </c>
      <c r="G51" s="316">
        <f>Wool!H12</f>
        <v>807.41811400000006</v>
      </c>
      <c r="H51" s="96"/>
      <c r="I51" s="96"/>
      <c r="J51" s="313"/>
      <c r="K51" s="313"/>
      <c r="L51" s="313"/>
      <c r="M51" s="314"/>
    </row>
    <row r="52" spans="1:13" x14ac:dyDescent="0.25">
      <c r="A52" s="252" t="s">
        <v>78</v>
      </c>
      <c r="B52" s="77" t="s">
        <v>11</v>
      </c>
      <c r="C52" s="300">
        <f>Eggs!D13</f>
        <v>-2.6651039999999999</v>
      </c>
      <c r="D52" s="300">
        <f>Eggs!E13</f>
        <v>-2.4239600000000001</v>
      </c>
      <c r="E52" s="300">
        <f>Eggs!F13</f>
        <v>-1.8387730000000002</v>
      </c>
      <c r="F52" s="305">
        <f>Eggs!G13</f>
        <v>7.6737539999999997</v>
      </c>
      <c r="G52" s="316">
        <f>Eggs!H13</f>
        <v>1.0572600000000003</v>
      </c>
      <c r="H52" s="96"/>
      <c r="I52" s="96"/>
      <c r="J52" s="313"/>
      <c r="K52" s="313"/>
      <c r="L52" s="313"/>
      <c r="M52" s="314"/>
    </row>
    <row r="53" spans="1:13" x14ac:dyDescent="0.25">
      <c r="A53" s="252" t="s">
        <v>77</v>
      </c>
      <c r="B53" s="77" t="s">
        <v>11</v>
      </c>
      <c r="C53" s="300">
        <f>Milk!D14</f>
        <v>5.9962119999999999</v>
      </c>
      <c r="D53" s="300">
        <f>Milk!E14</f>
        <v>8.1313250000000004</v>
      </c>
      <c r="E53" s="300">
        <f>Milk!F14</f>
        <v>8.6701899999999998</v>
      </c>
      <c r="F53" s="305">
        <f>Milk!G14</f>
        <v>8.4043419999999998</v>
      </c>
      <c r="G53" s="316">
        <f>Milk!H14</f>
        <v>16.45215</v>
      </c>
      <c r="H53" s="96"/>
      <c r="I53" s="96"/>
      <c r="J53" s="313"/>
      <c r="K53" s="313"/>
      <c r="L53" s="313"/>
      <c r="M53" s="314"/>
    </row>
    <row r="54" spans="1:13" x14ac:dyDescent="0.25">
      <c r="A54" s="250" t="s">
        <v>135</v>
      </c>
      <c r="B54" s="72" t="s">
        <v>11</v>
      </c>
      <c r="C54" s="306">
        <f>SUM(C55,C56)</f>
        <v>-573.17770299999995</v>
      </c>
      <c r="D54" s="306">
        <f>SUM(D55,D56)</f>
        <v>-596.48243200000002</v>
      </c>
      <c r="E54" s="306">
        <f>SUM(E55,E56)</f>
        <v>-543.10246899999993</v>
      </c>
      <c r="F54" s="307">
        <f>SUM(F55,F56)</f>
        <v>-572.3306399999999</v>
      </c>
      <c r="G54" s="317">
        <f>SUM(G55,G56)</f>
        <v>-607.66102000000001</v>
      </c>
      <c r="H54" s="96"/>
      <c r="I54" s="96"/>
      <c r="J54" s="313"/>
      <c r="K54" s="313"/>
      <c r="L54" s="313"/>
      <c r="M54" s="314"/>
    </row>
    <row r="55" spans="1:13" x14ac:dyDescent="0.25">
      <c r="A55" s="252" t="s">
        <v>126</v>
      </c>
      <c r="B55" s="77" t="s">
        <v>11</v>
      </c>
      <c r="C55" s="300">
        <f>Forestry!D16</f>
        <v>-45.462850000000017</v>
      </c>
      <c r="D55" s="300">
        <f>Forestry!E16</f>
        <v>-29.775170000000003</v>
      </c>
      <c r="E55" s="300">
        <f>Forestry!F16</f>
        <v>18.146499000000006</v>
      </c>
      <c r="F55" s="305">
        <f>Forestry!G16</f>
        <v>12.291180000000026</v>
      </c>
      <c r="G55" s="316">
        <f>Forestry!H16</f>
        <v>30.949205000000006</v>
      </c>
      <c r="H55" s="96"/>
      <c r="I55" s="96"/>
      <c r="J55" s="313"/>
      <c r="K55" s="313"/>
      <c r="L55" s="313"/>
      <c r="M55" s="314"/>
    </row>
    <row r="56" spans="1:13" x14ac:dyDescent="0.25">
      <c r="A56" s="252" t="s">
        <v>129</v>
      </c>
      <c r="B56" s="77" t="s">
        <v>11</v>
      </c>
      <c r="C56" s="300">
        <f>Fisheries!D13</f>
        <v>-527.71485299999995</v>
      </c>
      <c r="D56" s="300">
        <f>Fisheries!E13</f>
        <v>-566.70726200000001</v>
      </c>
      <c r="E56" s="300">
        <f>Fisheries!F13</f>
        <v>-561.24896799999999</v>
      </c>
      <c r="F56" s="305">
        <f>Fisheries!G13</f>
        <v>-584.62181999999996</v>
      </c>
      <c r="G56" s="316">
        <f>Fisheries!H13</f>
        <v>-638.61022500000001</v>
      </c>
      <c r="H56" s="96"/>
      <c r="I56" s="96"/>
      <c r="J56" s="313"/>
      <c r="K56" s="313"/>
      <c r="L56" s="313"/>
      <c r="M56" s="314"/>
    </row>
    <row r="57" spans="1:13" ht="17.25" x14ac:dyDescent="0.25">
      <c r="A57" s="250" t="s">
        <v>544</v>
      </c>
      <c r="B57" s="72" t="s">
        <v>11</v>
      </c>
      <c r="C57" s="306">
        <f>'Exports Table'!C86-'Imports Trade Bal. Tables'!C25</f>
        <v>384.28279500000099</v>
      </c>
      <c r="D57" s="306">
        <f>'Exports Table'!D86-'Imports Trade Bal. Tables'!D25</f>
        <v>356.12878300000011</v>
      </c>
      <c r="E57" s="306">
        <f>'Exports Table'!E86-'Imports Trade Bal. Tables'!E25</f>
        <v>323.16312199999857</v>
      </c>
      <c r="F57" s="307">
        <f>'Exports Table'!F86-'Imports Trade Bal. Tables'!F25</f>
        <v>378.76960000000008</v>
      </c>
      <c r="G57" s="317">
        <f>'Exports Table'!G86-'Imports Trade Bal. Tables'!G25</f>
        <v>381.52396799999951</v>
      </c>
      <c r="H57" s="96"/>
      <c r="I57" s="96"/>
      <c r="J57" s="313"/>
      <c r="K57" s="313"/>
      <c r="L57" s="313"/>
      <c r="M57" s="314"/>
    </row>
    <row r="58" spans="1:13" x14ac:dyDescent="0.25">
      <c r="A58" s="257" t="s">
        <v>157</v>
      </c>
      <c r="B58" s="286" t="s">
        <v>11</v>
      </c>
      <c r="C58" s="308">
        <f>SUM(C54,C46,C43,C34,C57)</f>
        <v>3223.3854230000006</v>
      </c>
      <c r="D58" s="308">
        <f>SUM(D54,D46,D43,D34,D57)</f>
        <v>3038.0601279999996</v>
      </c>
      <c r="E58" s="308">
        <f>SUM(E54,E46,E43,E34,E57)</f>
        <v>4122.297999999998</v>
      </c>
      <c r="F58" s="309">
        <f>SUM(F54,F46,F43,F34,F57)</f>
        <v>3177.7789820000003</v>
      </c>
      <c r="G58" s="318">
        <f>SUM(G54,G46,G43,G34,G57)</f>
        <v>2566.8160740000003</v>
      </c>
      <c r="H58" s="96"/>
      <c r="I58" s="96"/>
      <c r="J58" s="313"/>
      <c r="K58" s="313"/>
      <c r="L58" s="313"/>
      <c r="M58" s="314"/>
    </row>
    <row r="59" spans="1:13" x14ac:dyDescent="0.25">
      <c r="A59" s="53" t="s">
        <v>80</v>
      </c>
      <c r="H59" s="96"/>
      <c r="I59" s="96"/>
      <c r="J59" s="313"/>
      <c r="K59" s="313"/>
      <c r="L59" s="313"/>
      <c r="M59" s="314"/>
    </row>
    <row r="60" spans="1:13" ht="17.25" x14ac:dyDescent="0.25">
      <c r="A60" s="49" t="s">
        <v>527</v>
      </c>
      <c r="B60"/>
      <c r="C60"/>
      <c r="D60"/>
      <c r="E60"/>
      <c r="F60"/>
      <c r="G60"/>
      <c r="H60" s="96"/>
      <c r="I60" s="96"/>
      <c r="J60" s="96"/>
      <c r="K60" s="96"/>
      <c r="L60" s="96"/>
    </row>
    <row r="61" spans="1:13" ht="17.25" x14ac:dyDescent="0.25">
      <c r="A61" s="2" t="s">
        <v>528</v>
      </c>
      <c r="B61"/>
      <c r="C61"/>
      <c r="D61"/>
      <c r="E61"/>
      <c r="F61"/>
      <c r="G61"/>
      <c r="H61" s="96"/>
      <c r="I61" s="96"/>
      <c r="J61" s="96"/>
    </row>
    <row r="62" spans="1:13" ht="17.25" x14ac:dyDescent="0.25">
      <c r="A62" s="213" t="s">
        <v>525</v>
      </c>
      <c r="B62"/>
      <c r="C62"/>
      <c r="D62"/>
      <c r="E62"/>
      <c r="F62"/>
      <c r="G62"/>
      <c r="H62" s="96"/>
      <c r="I62" s="96"/>
      <c r="J62" s="96"/>
    </row>
    <row r="63" spans="1:13" ht="17.25" x14ac:dyDescent="0.25">
      <c r="A63" s="81" t="s">
        <v>154</v>
      </c>
      <c r="B63"/>
      <c r="C63"/>
      <c r="D63"/>
      <c r="E63"/>
      <c r="F63"/>
      <c r="G63"/>
      <c r="H63" s="96"/>
      <c r="I63" s="96"/>
      <c r="J63" s="96"/>
    </row>
  </sheetData>
  <conditionalFormatting sqref="A26:F26 A2:F8 A10:F24 B9:F9 H2:L24 H26:L26 H34:L56 H58:L58">
    <cfRule type="expression" dxfId="36" priority="14">
      <formula>MOD(ROW(),2)=0</formula>
    </cfRule>
  </conditionalFormatting>
  <conditionalFormatting sqref="A25:F25">
    <cfRule type="expression" dxfId="35" priority="13">
      <formula>MOD(ROW(),2)=0</formula>
    </cfRule>
  </conditionalFormatting>
  <conditionalFormatting sqref="K25:L25">
    <cfRule type="expression" dxfId="34" priority="12">
      <formula>MOD(ROW(),2)=0</formula>
    </cfRule>
  </conditionalFormatting>
  <conditionalFormatting sqref="H25:J25">
    <cfRule type="expression" dxfId="33" priority="11">
      <formula>MOD(ROW(),2)=0</formula>
    </cfRule>
  </conditionalFormatting>
  <conditionalFormatting sqref="A58:F58 A34:F56">
    <cfRule type="expression" dxfId="32" priority="10">
      <formula>MOD(ROW(),2)=0</formula>
    </cfRule>
  </conditionalFormatting>
  <conditionalFormatting sqref="A57:F57">
    <cfRule type="expression" dxfId="31" priority="9">
      <formula>MOD(ROW(),2)=0</formula>
    </cfRule>
  </conditionalFormatting>
  <conditionalFormatting sqref="K57:L57">
    <cfRule type="expression" dxfId="30" priority="8">
      <formula>MOD(ROW(),2)=0</formula>
    </cfRule>
  </conditionalFormatting>
  <conditionalFormatting sqref="H57:J57">
    <cfRule type="expression" dxfId="29" priority="7">
      <formula>MOD(ROW(),2)=0</formula>
    </cfRule>
  </conditionalFormatting>
  <conditionalFormatting sqref="G26 G2:G24">
    <cfRule type="expression" dxfId="28" priority="6">
      <formula>MOD(ROW(),2)=0</formula>
    </cfRule>
  </conditionalFormatting>
  <conditionalFormatting sqref="G25">
    <cfRule type="expression" dxfId="27" priority="5">
      <formula>MOD(ROW(),2)=0</formula>
    </cfRule>
  </conditionalFormatting>
  <conditionalFormatting sqref="G58 G34:G56">
    <cfRule type="expression" dxfId="26" priority="4">
      <formula>MOD(ROW(),2)=0</formula>
    </cfRule>
  </conditionalFormatting>
  <conditionalFormatting sqref="G57">
    <cfRule type="expression" dxfId="25" priority="3">
      <formula>MOD(ROW(),2)=0</formula>
    </cfRule>
  </conditionalFormatting>
  <conditionalFormatting sqref="A9">
    <cfRule type="expression" dxfId="24" priority="1">
      <formula>MOD(ROW(),2)=0</formula>
    </cfRule>
  </conditionalFormatting>
  <pageMargins left="0.7" right="0.7" top="0.75" bottom="0.75" header="0.3" footer="0.3"/>
  <pageSetup paperSize="9"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2D050"/>
  </sheetPr>
  <dimension ref="A1:I120"/>
  <sheetViews>
    <sheetView workbookViewId="0"/>
  </sheetViews>
  <sheetFormatPr defaultRowHeight="15" x14ac:dyDescent="0.25"/>
  <cols>
    <col min="1" max="1" width="62.7109375" customWidth="1"/>
    <col min="2" max="2" width="12.42578125" hidden="1" customWidth="1"/>
    <col min="3" max="3" width="5.5703125" bestFit="1" customWidth="1"/>
    <col min="4" max="5" width="21.140625" customWidth="1"/>
    <col min="6" max="6" width="21" bestFit="1" customWidth="1"/>
    <col min="7" max="7" width="26.140625" customWidth="1"/>
    <col min="8" max="8" width="15.85546875" hidden="1" customWidth="1"/>
    <col min="9" max="9" width="20.42578125" style="2" hidden="1" customWidth="1"/>
  </cols>
  <sheetData>
    <row r="1" spans="1:9" ht="17.25" x14ac:dyDescent="0.25">
      <c r="A1" s="244" t="s">
        <v>248</v>
      </c>
      <c r="B1" s="245" t="s">
        <v>233</v>
      </c>
      <c r="C1" s="245" t="s">
        <v>1</v>
      </c>
      <c r="D1" s="245" t="s">
        <v>550</v>
      </c>
      <c r="E1" s="245" t="s">
        <v>551</v>
      </c>
      <c r="F1" s="245" t="s">
        <v>552</v>
      </c>
      <c r="G1" s="288" t="s">
        <v>553</v>
      </c>
    </row>
    <row r="2" spans="1:9" x14ac:dyDescent="0.25">
      <c r="A2" s="289" t="s">
        <v>196</v>
      </c>
      <c r="B2" s="77" t="s">
        <v>93</v>
      </c>
      <c r="C2" s="77" t="s">
        <v>198</v>
      </c>
      <c r="D2" s="178">
        <v>74431.305519999994</v>
      </c>
      <c r="E2" s="178">
        <v>56692.195204999989</v>
      </c>
      <c r="F2" s="78">
        <f>SUM(F15,F16)</f>
        <v>46593</v>
      </c>
      <c r="G2" s="277">
        <f>+SUM(G39:G40,G42:G48)</f>
        <v>3369</v>
      </c>
    </row>
    <row r="3" spans="1:9" x14ac:dyDescent="0.25">
      <c r="A3" s="289" t="s">
        <v>129</v>
      </c>
      <c r="B3" s="77" t="s">
        <v>93</v>
      </c>
      <c r="C3" s="77" t="s">
        <v>198</v>
      </c>
      <c r="D3" s="178">
        <v>1891.7986825</v>
      </c>
      <c r="E3" s="178">
        <v>438.27819499999998</v>
      </c>
      <c r="F3" s="78">
        <f>+SUM(F27,F31)</f>
        <v>1233</v>
      </c>
      <c r="G3" s="277">
        <f>G41</f>
        <v>34</v>
      </c>
    </row>
    <row r="4" spans="1:9" x14ac:dyDescent="0.25">
      <c r="A4" s="289" t="s">
        <v>126</v>
      </c>
      <c r="B4" s="77" t="s">
        <v>93</v>
      </c>
      <c r="C4" s="77" t="s">
        <v>198</v>
      </c>
      <c r="D4" s="178">
        <v>1108.98702</v>
      </c>
      <c r="E4" s="178">
        <v>20450.498994999998</v>
      </c>
      <c r="F4" s="78">
        <f>F29</f>
        <v>1117</v>
      </c>
      <c r="G4" s="277">
        <f>+G49+G52</f>
        <v>2336</v>
      </c>
    </row>
    <row r="5" spans="1:9" x14ac:dyDescent="0.25">
      <c r="A5" s="289" t="s">
        <v>197</v>
      </c>
      <c r="B5" s="77" t="s">
        <v>93</v>
      </c>
      <c r="C5" s="77" t="s">
        <v>198</v>
      </c>
      <c r="D5" s="178">
        <v>8015.7771024999993</v>
      </c>
      <c r="E5" s="78">
        <v>0</v>
      </c>
      <c r="F5" s="78">
        <f>F35</f>
        <v>4340</v>
      </c>
      <c r="G5" s="277">
        <v>0</v>
      </c>
    </row>
    <row r="6" spans="1:9" x14ac:dyDescent="0.25">
      <c r="A6" s="250" t="s">
        <v>199</v>
      </c>
      <c r="B6" s="72" t="s">
        <v>93</v>
      </c>
      <c r="C6" s="72" t="s">
        <v>198</v>
      </c>
      <c r="D6" s="80">
        <f>SUM(D2:D5)</f>
        <v>85447.868324999989</v>
      </c>
      <c r="E6" s="80">
        <f>SUM(E2:E5)</f>
        <v>77580.97239499999</v>
      </c>
      <c r="F6" s="80">
        <f>SUM(F2:F5)</f>
        <v>53283</v>
      </c>
      <c r="G6" s="276">
        <f>SUM(G2:G5)</f>
        <v>5739</v>
      </c>
    </row>
    <row r="7" spans="1:9" x14ac:dyDescent="0.25">
      <c r="A7" s="289" t="s">
        <v>247</v>
      </c>
      <c r="B7" s="77"/>
      <c r="C7" s="77"/>
      <c r="D7" s="77" t="s">
        <v>498</v>
      </c>
      <c r="E7" s="77" t="s">
        <v>498</v>
      </c>
      <c r="F7" s="77" t="s">
        <v>501</v>
      </c>
      <c r="G7" s="290" t="s">
        <v>501</v>
      </c>
    </row>
    <row r="8" spans="1:9" x14ac:dyDescent="0.25">
      <c r="A8" s="291" t="s">
        <v>498</v>
      </c>
      <c r="B8" s="76"/>
      <c r="C8" s="76" t="s">
        <v>499</v>
      </c>
      <c r="D8" s="76"/>
      <c r="E8" s="76"/>
      <c r="F8" s="76"/>
      <c r="G8" s="251"/>
    </row>
    <row r="9" spans="1:9" x14ac:dyDescent="0.25">
      <c r="A9" s="292" t="s">
        <v>501</v>
      </c>
      <c r="B9" s="261"/>
      <c r="C9" s="261" t="s">
        <v>500</v>
      </c>
      <c r="D9" s="261"/>
      <c r="E9" s="261"/>
      <c r="F9" s="261"/>
      <c r="G9" s="262"/>
    </row>
    <row r="10" spans="1:9" ht="17.25" x14ac:dyDescent="0.25">
      <c r="A10" s="104" t="s">
        <v>555</v>
      </c>
    </row>
    <row r="11" spans="1:9" ht="17.25" x14ac:dyDescent="0.25">
      <c r="A11" s="179" t="s">
        <v>554</v>
      </c>
      <c r="D11" s="102"/>
    </row>
    <row r="13" spans="1:9" ht="17.25" x14ac:dyDescent="0.25">
      <c r="A13" s="244" t="s">
        <v>249</v>
      </c>
      <c r="B13" s="245" t="s">
        <v>233</v>
      </c>
      <c r="C13" s="245" t="s">
        <v>1</v>
      </c>
      <c r="D13" s="245" t="s">
        <v>550</v>
      </c>
      <c r="E13" s="245" t="s">
        <v>551</v>
      </c>
      <c r="F13" s="245" t="s">
        <v>552</v>
      </c>
      <c r="G13" s="288" t="s">
        <v>553</v>
      </c>
      <c r="H13" s="293" t="s">
        <v>234</v>
      </c>
      <c r="I13" s="72" t="s">
        <v>235</v>
      </c>
    </row>
    <row r="14" spans="1:9" x14ac:dyDescent="0.25">
      <c r="A14" s="296" t="s">
        <v>236</v>
      </c>
      <c r="B14" s="76"/>
      <c r="C14" s="72" t="s">
        <v>198</v>
      </c>
      <c r="D14" s="101">
        <f>SUM(D15,D16,D27,D29,D31,D35,D38,D49,D52)</f>
        <v>85447.868324999989</v>
      </c>
      <c r="E14" s="101">
        <f>SUM(E15,E16,E27,E29,E31,E35,E38,E49,E52)</f>
        <v>77580.97239499999</v>
      </c>
      <c r="F14" s="101">
        <f t="shared" ref="F14:G14" si="0">SUM(F15,F16,F27,F29,F31,F35,F38,F49,F52)</f>
        <v>53283</v>
      </c>
      <c r="G14" s="297">
        <f t="shared" si="0"/>
        <v>5739</v>
      </c>
      <c r="H14" s="294"/>
      <c r="I14" s="103"/>
    </row>
    <row r="15" spans="1:9" ht="17.25" x14ac:dyDescent="0.25">
      <c r="A15" s="298" t="s">
        <v>200</v>
      </c>
      <c r="B15" s="77"/>
      <c r="C15" s="77" t="s">
        <v>198</v>
      </c>
      <c r="D15" s="78">
        <v>112.149845</v>
      </c>
      <c r="E15" s="78">
        <v>0</v>
      </c>
      <c r="F15" s="78">
        <v>0</v>
      </c>
      <c r="G15" s="277">
        <v>0</v>
      </c>
      <c r="H15" s="295" t="s">
        <v>196</v>
      </c>
      <c r="I15" s="77" t="s">
        <v>251</v>
      </c>
    </row>
    <row r="16" spans="1:9" x14ac:dyDescent="0.25">
      <c r="A16" s="299" t="s">
        <v>237</v>
      </c>
      <c r="B16" s="76"/>
      <c r="C16" s="72" t="s">
        <v>198</v>
      </c>
      <c r="D16" s="101">
        <f>+SUM(D17:D26)</f>
        <v>74319.155674999987</v>
      </c>
      <c r="E16" s="101">
        <f>+SUM(E17:E26)</f>
        <v>0</v>
      </c>
      <c r="F16" s="101">
        <f t="shared" ref="F16:G16" si="1">+SUM(F17:F26)</f>
        <v>46593</v>
      </c>
      <c r="G16" s="297">
        <f t="shared" si="1"/>
        <v>0</v>
      </c>
      <c r="H16" s="294"/>
      <c r="I16" s="103"/>
    </row>
    <row r="17" spans="1:9" ht="17.25" x14ac:dyDescent="0.25">
      <c r="A17" s="298" t="s">
        <v>201</v>
      </c>
      <c r="B17" s="77" t="str">
        <f>MID(A17,2,2)</f>
        <v>10</v>
      </c>
      <c r="C17" s="77" t="s">
        <v>198</v>
      </c>
      <c r="D17" s="78">
        <v>6633.6359149999998</v>
      </c>
      <c r="E17" s="78">
        <v>0</v>
      </c>
      <c r="F17" s="78">
        <v>0</v>
      </c>
      <c r="G17" s="277">
        <v>0</v>
      </c>
      <c r="H17" s="295" t="s">
        <v>196</v>
      </c>
      <c r="I17" s="77" t="s">
        <v>251</v>
      </c>
    </row>
    <row r="18" spans="1:9" ht="17.25" x14ac:dyDescent="0.25">
      <c r="A18" s="298" t="s">
        <v>202</v>
      </c>
      <c r="B18" s="77" t="str">
        <f t="shared" ref="B18:B26" si="2">MID(A18,2,2)</f>
        <v>11</v>
      </c>
      <c r="C18" s="77" t="s">
        <v>198</v>
      </c>
      <c r="D18" s="78">
        <v>2545.8489175</v>
      </c>
      <c r="E18" s="78">
        <v>0</v>
      </c>
      <c r="F18" s="78">
        <v>664</v>
      </c>
      <c r="G18" s="277">
        <v>0</v>
      </c>
      <c r="H18" s="295" t="s">
        <v>196</v>
      </c>
      <c r="I18" s="77" t="s">
        <v>251</v>
      </c>
    </row>
    <row r="19" spans="1:9" ht="17.25" x14ac:dyDescent="0.25">
      <c r="A19" s="298" t="s">
        <v>203</v>
      </c>
      <c r="B19" s="77" t="str">
        <f t="shared" si="2"/>
        <v>12</v>
      </c>
      <c r="C19" s="77" t="s">
        <v>198</v>
      </c>
      <c r="D19" s="78">
        <v>2903.0504874999997</v>
      </c>
      <c r="E19" s="78">
        <v>0</v>
      </c>
      <c r="F19" s="78">
        <v>1463</v>
      </c>
      <c r="G19" s="277">
        <v>0</v>
      </c>
      <c r="H19" s="295" t="s">
        <v>196</v>
      </c>
      <c r="I19" s="77" t="s">
        <v>251</v>
      </c>
    </row>
    <row r="20" spans="1:9" ht="17.25" x14ac:dyDescent="0.25">
      <c r="A20" s="298" t="s">
        <v>204</v>
      </c>
      <c r="B20" s="77" t="str">
        <f t="shared" si="2"/>
        <v>13</v>
      </c>
      <c r="C20" s="77" t="s">
        <v>198</v>
      </c>
      <c r="D20" s="78">
        <v>8749.4396049999996</v>
      </c>
      <c r="E20" s="78">
        <v>0</v>
      </c>
      <c r="F20" s="78">
        <v>3419</v>
      </c>
      <c r="G20" s="277">
        <v>0</v>
      </c>
      <c r="H20" s="295" t="s">
        <v>196</v>
      </c>
      <c r="I20" s="77" t="s">
        <v>251</v>
      </c>
    </row>
    <row r="21" spans="1:9" ht="17.25" x14ac:dyDescent="0.25">
      <c r="A21" s="298" t="s">
        <v>205</v>
      </c>
      <c r="B21" s="77" t="str">
        <f t="shared" si="2"/>
        <v>14</v>
      </c>
      <c r="C21" s="77" t="s">
        <v>198</v>
      </c>
      <c r="D21" s="78">
        <v>41460.481627499998</v>
      </c>
      <c r="E21" s="78">
        <v>0</v>
      </c>
      <c r="F21" s="78">
        <v>35159</v>
      </c>
      <c r="G21" s="277">
        <v>0</v>
      </c>
      <c r="H21" s="295" t="s">
        <v>196</v>
      </c>
      <c r="I21" s="77" t="s">
        <v>251</v>
      </c>
    </row>
    <row r="22" spans="1:9" ht="17.25" x14ac:dyDescent="0.25">
      <c r="A22" s="298" t="s">
        <v>206</v>
      </c>
      <c r="B22" s="77" t="str">
        <f t="shared" si="2"/>
        <v>15</v>
      </c>
      <c r="C22" s="77" t="s">
        <v>198</v>
      </c>
      <c r="D22" s="78">
        <v>1131.5006575</v>
      </c>
      <c r="E22" s="78">
        <v>0</v>
      </c>
      <c r="F22" s="78">
        <v>1428</v>
      </c>
      <c r="G22" s="277">
        <v>0</v>
      </c>
      <c r="H22" s="295" t="s">
        <v>196</v>
      </c>
      <c r="I22" s="77" t="s">
        <v>251</v>
      </c>
    </row>
    <row r="23" spans="1:9" ht="17.25" x14ac:dyDescent="0.25">
      <c r="A23" s="298" t="s">
        <v>207</v>
      </c>
      <c r="B23" s="77" t="str">
        <f t="shared" si="2"/>
        <v>16</v>
      </c>
      <c r="C23" s="77" t="s">
        <v>198</v>
      </c>
      <c r="D23" s="78">
        <v>3517.9123500000001</v>
      </c>
      <c r="E23" s="78">
        <v>0</v>
      </c>
      <c r="F23" s="78">
        <v>1459</v>
      </c>
      <c r="G23" s="277">
        <v>0</v>
      </c>
      <c r="H23" s="295" t="s">
        <v>196</v>
      </c>
      <c r="I23" s="77" t="s">
        <v>251</v>
      </c>
    </row>
    <row r="24" spans="1:9" ht="17.25" x14ac:dyDescent="0.25">
      <c r="A24" s="298" t="s">
        <v>208</v>
      </c>
      <c r="B24" s="77" t="str">
        <f t="shared" si="2"/>
        <v>17</v>
      </c>
      <c r="C24" s="77" t="s">
        <v>198</v>
      </c>
      <c r="D24" s="78">
        <v>3375.9411075000003</v>
      </c>
      <c r="E24" s="78">
        <v>0</v>
      </c>
      <c r="F24" s="78">
        <v>555</v>
      </c>
      <c r="G24" s="277">
        <v>0</v>
      </c>
      <c r="H24" s="295" t="s">
        <v>196</v>
      </c>
      <c r="I24" s="77" t="s">
        <v>251</v>
      </c>
    </row>
    <row r="25" spans="1:9" ht="17.25" x14ac:dyDescent="0.25">
      <c r="A25" s="298" t="s">
        <v>209</v>
      </c>
      <c r="B25" s="77" t="str">
        <f t="shared" si="2"/>
        <v>18</v>
      </c>
      <c r="C25" s="77" t="s">
        <v>198</v>
      </c>
      <c r="D25" s="78">
        <v>0</v>
      </c>
      <c r="E25" s="78">
        <v>0</v>
      </c>
      <c r="F25" s="78">
        <v>34</v>
      </c>
      <c r="G25" s="277">
        <v>0</v>
      </c>
      <c r="H25" s="295" t="s">
        <v>196</v>
      </c>
      <c r="I25" s="77" t="s">
        <v>251</v>
      </c>
    </row>
    <row r="26" spans="1:9" ht="17.25" x14ac:dyDescent="0.25">
      <c r="A26" s="298" t="s">
        <v>210</v>
      </c>
      <c r="B26" s="77" t="str">
        <f t="shared" si="2"/>
        <v>19</v>
      </c>
      <c r="C26" s="77" t="s">
        <v>198</v>
      </c>
      <c r="D26" s="78">
        <v>4001.3450075000005</v>
      </c>
      <c r="E26" s="78">
        <v>0</v>
      </c>
      <c r="F26" s="78">
        <v>2412</v>
      </c>
      <c r="G26" s="277">
        <v>0</v>
      </c>
      <c r="H26" s="295" t="s">
        <v>196</v>
      </c>
      <c r="I26" s="77" t="s">
        <v>251</v>
      </c>
    </row>
    <row r="27" spans="1:9" x14ac:dyDescent="0.25">
      <c r="A27" s="299" t="s">
        <v>238</v>
      </c>
      <c r="B27" s="76"/>
      <c r="C27" s="72" t="s">
        <v>198</v>
      </c>
      <c r="D27" s="101">
        <f>+D28</f>
        <v>600.59822500000007</v>
      </c>
      <c r="E27" s="101">
        <f>+E28</f>
        <v>0</v>
      </c>
      <c r="F27" s="101">
        <f t="shared" ref="F27:G27" si="3">+F28</f>
        <v>349</v>
      </c>
      <c r="G27" s="297">
        <f t="shared" si="3"/>
        <v>0</v>
      </c>
      <c r="H27" s="294"/>
      <c r="I27" s="103"/>
    </row>
    <row r="28" spans="1:9" ht="17.25" x14ac:dyDescent="0.25">
      <c r="A28" s="298" t="s">
        <v>211</v>
      </c>
      <c r="B28" s="77" t="str">
        <f>MID(A28,2,2)</f>
        <v>20</v>
      </c>
      <c r="C28" s="77" t="s">
        <v>198</v>
      </c>
      <c r="D28" s="78">
        <v>600.59822500000007</v>
      </c>
      <c r="E28" s="78">
        <v>0</v>
      </c>
      <c r="F28" s="78">
        <v>349</v>
      </c>
      <c r="G28" s="277">
        <v>0</v>
      </c>
      <c r="H28" s="295" t="s">
        <v>129</v>
      </c>
      <c r="I28" s="77" t="s">
        <v>251</v>
      </c>
    </row>
    <row r="29" spans="1:9" x14ac:dyDescent="0.25">
      <c r="A29" s="299" t="s">
        <v>239</v>
      </c>
      <c r="B29" s="76"/>
      <c r="C29" s="72" t="s">
        <v>198</v>
      </c>
      <c r="D29" s="101">
        <f>+D30</f>
        <v>1108.98702</v>
      </c>
      <c r="E29" s="101">
        <f>+E30</f>
        <v>0</v>
      </c>
      <c r="F29" s="101">
        <f t="shared" ref="F29:G29" si="4">+F30</f>
        <v>1117</v>
      </c>
      <c r="G29" s="297">
        <f t="shared" si="4"/>
        <v>0</v>
      </c>
      <c r="H29" s="294"/>
      <c r="I29" s="103"/>
    </row>
    <row r="30" spans="1:9" ht="17.25" x14ac:dyDescent="0.25">
      <c r="A30" s="298" t="s">
        <v>212</v>
      </c>
      <c r="B30" s="77" t="str">
        <f>MID(A30,2,2)</f>
        <v>30</v>
      </c>
      <c r="C30" s="77" t="s">
        <v>198</v>
      </c>
      <c r="D30" s="78">
        <v>1108.98702</v>
      </c>
      <c r="E30" s="78">
        <v>0</v>
      </c>
      <c r="F30" s="78">
        <v>1117</v>
      </c>
      <c r="G30" s="277">
        <v>0</v>
      </c>
      <c r="H30" s="295" t="s">
        <v>126</v>
      </c>
      <c r="I30" s="77" t="s">
        <v>251</v>
      </c>
    </row>
    <row r="31" spans="1:9" x14ac:dyDescent="0.25">
      <c r="A31" s="299" t="s">
        <v>240</v>
      </c>
      <c r="B31" s="76"/>
      <c r="C31" s="72" t="s">
        <v>198</v>
      </c>
      <c r="D31" s="101">
        <f>SUM(D32:D34)</f>
        <v>1291.2004574999999</v>
      </c>
      <c r="E31" s="101">
        <f>SUM(E32:E34)</f>
        <v>0</v>
      </c>
      <c r="F31" s="101">
        <f t="shared" ref="F31:G31" si="5">SUM(F32:F34)</f>
        <v>884</v>
      </c>
      <c r="G31" s="297">
        <f t="shared" si="5"/>
        <v>0</v>
      </c>
      <c r="H31" s="294"/>
      <c r="I31" s="103"/>
    </row>
    <row r="32" spans="1:9" ht="17.25" x14ac:dyDescent="0.25">
      <c r="A32" s="298" t="s">
        <v>213</v>
      </c>
      <c r="B32" s="77" t="str">
        <f t="shared" ref="B32:B34" si="6">MID(A32,2,2)</f>
        <v>40</v>
      </c>
      <c r="C32" s="77" t="s">
        <v>198</v>
      </c>
      <c r="D32" s="78">
        <v>99.487832499999996</v>
      </c>
      <c r="E32" s="78">
        <v>0</v>
      </c>
      <c r="F32" s="78">
        <v>0</v>
      </c>
      <c r="G32" s="277">
        <v>0</v>
      </c>
      <c r="H32" s="295" t="s">
        <v>129</v>
      </c>
      <c r="I32" s="77" t="s">
        <v>251</v>
      </c>
    </row>
    <row r="33" spans="1:9" ht="17.25" x14ac:dyDescent="0.25">
      <c r="A33" s="298" t="s">
        <v>214</v>
      </c>
      <c r="B33" s="77" t="str">
        <f t="shared" si="6"/>
        <v>41</v>
      </c>
      <c r="C33" s="77" t="s">
        <v>198</v>
      </c>
      <c r="D33" s="78">
        <v>899.39558749999992</v>
      </c>
      <c r="E33" s="78">
        <v>0</v>
      </c>
      <c r="F33" s="78">
        <v>691</v>
      </c>
      <c r="G33" s="277">
        <v>0</v>
      </c>
      <c r="H33" s="295" t="s">
        <v>129</v>
      </c>
      <c r="I33" s="77" t="s">
        <v>251</v>
      </c>
    </row>
    <row r="34" spans="1:9" ht="17.25" x14ac:dyDescent="0.25">
      <c r="A34" s="298" t="s">
        <v>215</v>
      </c>
      <c r="B34" s="77" t="str">
        <f t="shared" si="6"/>
        <v>42</v>
      </c>
      <c r="C34" s="77" t="s">
        <v>198</v>
      </c>
      <c r="D34" s="78">
        <v>292.31703749999997</v>
      </c>
      <c r="E34" s="78">
        <v>0</v>
      </c>
      <c r="F34" s="78">
        <v>193</v>
      </c>
      <c r="G34" s="277">
        <v>0</v>
      </c>
      <c r="H34" s="295" t="s">
        <v>129</v>
      </c>
      <c r="I34" s="77" t="s">
        <v>251</v>
      </c>
    </row>
    <row r="35" spans="1:9" x14ac:dyDescent="0.25">
      <c r="A35" s="299" t="s">
        <v>250</v>
      </c>
      <c r="B35" s="76"/>
      <c r="C35" s="72" t="s">
        <v>198</v>
      </c>
      <c r="D35" s="101">
        <f>+SUM(D36:D37)</f>
        <v>8015.7771024999993</v>
      </c>
      <c r="E35" s="101">
        <f>+SUM(E36:E37)</f>
        <v>0</v>
      </c>
      <c r="F35" s="101">
        <f t="shared" ref="F35:G35" si="7">+SUM(F36:F37)</f>
        <v>4340</v>
      </c>
      <c r="G35" s="297">
        <f t="shared" si="7"/>
        <v>0</v>
      </c>
      <c r="H35" s="294"/>
      <c r="I35" s="103"/>
    </row>
    <row r="36" spans="1:9" ht="17.25" x14ac:dyDescent="0.25">
      <c r="A36" s="298" t="s">
        <v>216</v>
      </c>
      <c r="B36" s="77" t="str">
        <f t="shared" ref="B36:B37" si="8">MID(A36,2,2)</f>
        <v>51</v>
      </c>
      <c r="C36" s="77" t="s">
        <v>198</v>
      </c>
      <c r="D36" s="78">
        <v>821.59660500000007</v>
      </c>
      <c r="E36" s="78">
        <v>0</v>
      </c>
      <c r="F36" s="78">
        <v>246</v>
      </c>
      <c r="G36" s="277">
        <v>0</v>
      </c>
      <c r="H36" s="295" t="s">
        <v>197</v>
      </c>
      <c r="I36" s="77" t="s">
        <v>251</v>
      </c>
    </row>
    <row r="37" spans="1:9" ht="17.25" x14ac:dyDescent="0.25">
      <c r="A37" s="298" t="s">
        <v>217</v>
      </c>
      <c r="B37" s="77" t="str">
        <f t="shared" si="8"/>
        <v>52</v>
      </c>
      <c r="C37" s="77" t="s">
        <v>198</v>
      </c>
      <c r="D37" s="78">
        <v>7194.1804974999995</v>
      </c>
      <c r="E37" s="78">
        <v>0</v>
      </c>
      <c r="F37" s="78">
        <v>4094</v>
      </c>
      <c r="G37" s="277">
        <v>0</v>
      </c>
      <c r="H37" s="295" t="s">
        <v>197</v>
      </c>
      <c r="I37" s="77" t="s">
        <v>251</v>
      </c>
    </row>
    <row r="38" spans="1:9" x14ac:dyDescent="0.25">
      <c r="A38" s="299" t="s">
        <v>241</v>
      </c>
      <c r="B38" s="76"/>
      <c r="C38" s="72" t="s">
        <v>198</v>
      </c>
      <c r="D38" s="101">
        <f>SUM(D39:D48)</f>
        <v>0</v>
      </c>
      <c r="E38" s="101">
        <f>SUM(E39:E48)</f>
        <v>57130.473399999988</v>
      </c>
      <c r="F38" s="101">
        <f t="shared" ref="F38:G38" si="9">SUM(F39:F48)</f>
        <v>0</v>
      </c>
      <c r="G38" s="297">
        <f t="shared" si="9"/>
        <v>3403</v>
      </c>
      <c r="H38" s="294"/>
      <c r="I38" s="103"/>
    </row>
    <row r="39" spans="1:9" ht="17.25" x14ac:dyDescent="0.25">
      <c r="A39" s="298" t="s">
        <v>218</v>
      </c>
      <c r="B39" s="77" t="str">
        <f t="shared" ref="B39:B48" si="10">MID(A39,2,2)</f>
        <v>10</v>
      </c>
      <c r="C39" s="77" t="s">
        <v>198</v>
      </c>
      <c r="D39" s="78">
        <v>0</v>
      </c>
      <c r="E39" s="78">
        <v>5130.8872599999995</v>
      </c>
      <c r="F39" s="78">
        <v>0</v>
      </c>
      <c r="G39" s="277">
        <v>0</v>
      </c>
      <c r="H39" s="295" t="s">
        <v>196</v>
      </c>
      <c r="I39" s="77" t="s">
        <v>252</v>
      </c>
    </row>
    <row r="40" spans="1:9" ht="17.25" x14ac:dyDescent="0.25">
      <c r="A40" s="298" t="s">
        <v>219</v>
      </c>
      <c r="B40" s="77" t="str">
        <f t="shared" si="10"/>
        <v>11</v>
      </c>
      <c r="C40" s="77" t="s">
        <v>198</v>
      </c>
      <c r="D40" s="78">
        <v>0</v>
      </c>
      <c r="E40" s="78">
        <v>16523.326722499998</v>
      </c>
      <c r="F40" s="78">
        <v>0</v>
      </c>
      <c r="G40" s="277">
        <v>293</v>
      </c>
      <c r="H40" s="295" t="s">
        <v>196</v>
      </c>
      <c r="I40" s="77" t="s">
        <v>252</v>
      </c>
    </row>
    <row r="41" spans="1:9" ht="17.25" x14ac:dyDescent="0.25">
      <c r="A41" s="298" t="s">
        <v>220</v>
      </c>
      <c r="B41" s="77" t="str">
        <f t="shared" si="10"/>
        <v>12</v>
      </c>
      <c r="C41" s="77" t="s">
        <v>198</v>
      </c>
      <c r="D41" s="78">
        <v>0</v>
      </c>
      <c r="E41" s="78">
        <v>438.27819499999998</v>
      </c>
      <c r="F41" s="78">
        <v>0</v>
      </c>
      <c r="G41" s="277">
        <v>34</v>
      </c>
      <c r="H41" s="295" t="s">
        <v>129</v>
      </c>
      <c r="I41" s="77" t="s">
        <v>252</v>
      </c>
    </row>
    <row r="42" spans="1:9" ht="17.25" x14ac:dyDescent="0.25">
      <c r="A42" s="298" t="s">
        <v>221</v>
      </c>
      <c r="B42" s="77" t="str">
        <f t="shared" si="10"/>
        <v>13</v>
      </c>
      <c r="C42" s="77" t="s">
        <v>198</v>
      </c>
      <c r="D42" s="78">
        <v>0</v>
      </c>
      <c r="E42" s="78">
        <v>3003.8960474999999</v>
      </c>
      <c r="F42" s="78">
        <v>0</v>
      </c>
      <c r="G42" s="277">
        <v>142</v>
      </c>
      <c r="H42" s="295" t="s">
        <v>196</v>
      </c>
      <c r="I42" s="77" t="s">
        <v>252</v>
      </c>
    </row>
    <row r="43" spans="1:9" ht="17.25" x14ac:dyDescent="0.25">
      <c r="A43" s="298" t="s">
        <v>222</v>
      </c>
      <c r="B43" s="77" t="str">
        <f t="shared" si="10"/>
        <v>14</v>
      </c>
      <c r="C43" s="77" t="s">
        <v>198</v>
      </c>
      <c r="D43" s="78">
        <v>0</v>
      </c>
      <c r="E43" s="78">
        <v>2065.5100150000003</v>
      </c>
      <c r="F43" s="78">
        <v>0</v>
      </c>
      <c r="G43" s="277">
        <v>172</v>
      </c>
      <c r="H43" s="295" t="s">
        <v>196</v>
      </c>
      <c r="I43" s="77" t="s">
        <v>252</v>
      </c>
    </row>
    <row r="44" spans="1:9" ht="17.25" x14ac:dyDescent="0.25">
      <c r="A44" s="298" t="s">
        <v>223</v>
      </c>
      <c r="B44" s="77" t="str">
        <f t="shared" si="10"/>
        <v>15</v>
      </c>
      <c r="C44" s="77" t="s">
        <v>198</v>
      </c>
      <c r="D44" s="78">
        <v>0</v>
      </c>
      <c r="E44" s="78">
        <v>390.46125499999994</v>
      </c>
      <c r="F44" s="78">
        <v>0</v>
      </c>
      <c r="G44" s="277">
        <v>37</v>
      </c>
      <c r="H44" s="295" t="s">
        <v>196</v>
      </c>
      <c r="I44" s="77" t="s">
        <v>252</v>
      </c>
    </row>
    <row r="45" spans="1:9" ht="17.25" x14ac:dyDescent="0.25">
      <c r="A45" s="298" t="s">
        <v>224</v>
      </c>
      <c r="B45" s="77" t="str">
        <f t="shared" si="10"/>
        <v>16</v>
      </c>
      <c r="C45" s="77" t="s">
        <v>198</v>
      </c>
      <c r="D45" s="78">
        <v>0</v>
      </c>
      <c r="E45" s="78">
        <v>2728.6979874999997</v>
      </c>
      <c r="F45" s="78">
        <v>0</v>
      </c>
      <c r="G45" s="277">
        <v>107</v>
      </c>
      <c r="H45" s="295" t="s">
        <v>196</v>
      </c>
      <c r="I45" s="77" t="s">
        <v>252</v>
      </c>
    </row>
    <row r="46" spans="1:9" ht="17.25" x14ac:dyDescent="0.25">
      <c r="A46" s="298" t="s">
        <v>225</v>
      </c>
      <c r="B46" s="77" t="str">
        <f t="shared" si="10"/>
        <v>17</v>
      </c>
      <c r="C46" s="77" t="s">
        <v>198</v>
      </c>
      <c r="D46" s="78">
        <v>0</v>
      </c>
      <c r="E46" s="78">
        <v>15745.062939999998</v>
      </c>
      <c r="F46" s="78">
        <v>0</v>
      </c>
      <c r="G46" s="277">
        <v>1924</v>
      </c>
      <c r="H46" s="295" t="s">
        <v>196</v>
      </c>
      <c r="I46" s="77" t="s">
        <v>252</v>
      </c>
    </row>
    <row r="47" spans="1:9" ht="17.25" x14ac:dyDescent="0.25">
      <c r="A47" s="298" t="s">
        <v>226</v>
      </c>
      <c r="B47" s="77" t="str">
        <f t="shared" si="10"/>
        <v>18</v>
      </c>
      <c r="C47" s="77" t="s">
        <v>198</v>
      </c>
      <c r="D47" s="78">
        <v>0</v>
      </c>
      <c r="E47" s="78">
        <v>2501.9526600000004</v>
      </c>
      <c r="F47" s="78">
        <v>0</v>
      </c>
      <c r="G47" s="277">
        <v>125</v>
      </c>
      <c r="H47" s="295" t="s">
        <v>196</v>
      </c>
      <c r="I47" s="77" t="s">
        <v>252</v>
      </c>
    </row>
    <row r="48" spans="1:9" ht="17.25" x14ac:dyDescent="0.25">
      <c r="A48" s="298" t="s">
        <v>227</v>
      </c>
      <c r="B48" s="77" t="str">
        <f t="shared" si="10"/>
        <v>19</v>
      </c>
      <c r="C48" s="77" t="s">
        <v>198</v>
      </c>
      <c r="D48" s="78">
        <v>0</v>
      </c>
      <c r="E48" s="78">
        <v>8602.4003174999998</v>
      </c>
      <c r="F48" s="78">
        <v>0</v>
      </c>
      <c r="G48" s="277">
        <v>569</v>
      </c>
      <c r="H48" s="295" t="s">
        <v>196</v>
      </c>
      <c r="I48" s="77" t="s">
        <v>252</v>
      </c>
    </row>
    <row r="49" spans="1:9" x14ac:dyDescent="0.25">
      <c r="A49" s="299" t="s">
        <v>242</v>
      </c>
      <c r="B49" s="76"/>
      <c r="C49" s="72" t="s">
        <v>198</v>
      </c>
      <c r="D49" s="101">
        <f>SUM(D50:D51)</f>
        <v>0</v>
      </c>
      <c r="E49" s="101">
        <f>SUM(E50:E51)</f>
        <v>15712.497617499999</v>
      </c>
      <c r="F49" s="101">
        <f t="shared" ref="F49:G49" si="11">SUM(F50:F51)</f>
        <v>0</v>
      </c>
      <c r="G49" s="297">
        <f t="shared" si="11"/>
        <v>2086</v>
      </c>
      <c r="H49" s="294"/>
      <c r="I49" s="103"/>
    </row>
    <row r="50" spans="1:9" ht="17.25" x14ac:dyDescent="0.25">
      <c r="A50" s="298" t="s">
        <v>228</v>
      </c>
      <c r="B50" s="77" t="str">
        <f t="shared" ref="B50:B51" si="12">MID(A50,2,2)</f>
        <v>41</v>
      </c>
      <c r="C50" s="77" t="s">
        <v>198</v>
      </c>
      <c r="D50" s="78">
        <v>0</v>
      </c>
      <c r="E50" s="78">
        <v>1843.0740074999999</v>
      </c>
      <c r="F50" s="78">
        <v>0</v>
      </c>
      <c r="G50" s="277">
        <v>257</v>
      </c>
      <c r="H50" s="295" t="s">
        <v>126</v>
      </c>
      <c r="I50" s="77" t="s">
        <v>252</v>
      </c>
    </row>
    <row r="51" spans="1:9" ht="17.25" x14ac:dyDescent="0.25">
      <c r="A51" s="298" t="s">
        <v>229</v>
      </c>
      <c r="B51" s="77" t="str">
        <f t="shared" si="12"/>
        <v>49</v>
      </c>
      <c r="C51" s="77" t="s">
        <v>198</v>
      </c>
      <c r="D51" s="78">
        <v>0</v>
      </c>
      <c r="E51" s="78">
        <v>13869.42361</v>
      </c>
      <c r="F51" s="78">
        <v>0</v>
      </c>
      <c r="G51" s="277">
        <v>1829</v>
      </c>
      <c r="H51" s="295" t="s">
        <v>126</v>
      </c>
      <c r="I51" s="77" t="s">
        <v>252</v>
      </c>
    </row>
    <row r="52" spans="1:9" x14ac:dyDescent="0.25">
      <c r="A52" s="299" t="s">
        <v>243</v>
      </c>
      <c r="B52" s="76"/>
      <c r="C52" s="72" t="s">
        <v>198</v>
      </c>
      <c r="D52" s="101">
        <f>SUM(D53:D55)</f>
        <v>0</v>
      </c>
      <c r="E52" s="101">
        <f>SUM(E53:E55)</f>
        <v>4738.0013774999998</v>
      </c>
      <c r="F52" s="101">
        <f t="shared" ref="F52:G52" si="13">SUM(F53:F55)</f>
        <v>0</v>
      </c>
      <c r="G52" s="297">
        <f t="shared" si="13"/>
        <v>250</v>
      </c>
      <c r="H52" s="294"/>
      <c r="I52" s="103"/>
    </row>
    <row r="53" spans="1:9" ht="17.25" x14ac:dyDescent="0.25">
      <c r="A53" s="298" t="s">
        <v>230</v>
      </c>
      <c r="B53" s="77" t="str">
        <f t="shared" ref="B53:B55" si="14">MID(A53,2,2)</f>
        <v>50</v>
      </c>
      <c r="C53" s="77" t="s">
        <v>198</v>
      </c>
      <c r="D53" s="78">
        <v>0</v>
      </c>
      <c r="E53" s="78">
        <v>497.88676500000003</v>
      </c>
      <c r="F53" s="78">
        <v>0</v>
      </c>
      <c r="G53" s="277">
        <v>0</v>
      </c>
      <c r="H53" s="295" t="s">
        <v>126</v>
      </c>
      <c r="I53" s="77" t="s">
        <v>252</v>
      </c>
    </row>
    <row r="54" spans="1:9" ht="17.25" x14ac:dyDescent="0.25">
      <c r="A54" s="298" t="s">
        <v>231</v>
      </c>
      <c r="B54" s="77" t="str">
        <f t="shared" si="14"/>
        <v>51</v>
      </c>
      <c r="C54" s="77" t="s">
        <v>198</v>
      </c>
      <c r="D54" s="78">
        <v>0</v>
      </c>
      <c r="E54" s="78">
        <v>1090.9463625000001</v>
      </c>
      <c r="F54" s="78">
        <v>0</v>
      </c>
      <c r="G54" s="277">
        <v>43</v>
      </c>
      <c r="H54" s="295" t="s">
        <v>126</v>
      </c>
      <c r="I54" s="77" t="s">
        <v>252</v>
      </c>
    </row>
    <row r="55" spans="1:9" ht="17.25" x14ac:dyDescent="0.25">
      <c r="A55" s="298" t="s">
        <v>232</v>
      </c>
      <c r="B55" s="77" t="str">
        <f t="shared" si="14"/>
        <v>52</v>
      </c>
      <c r="C55" s="77" t="s">
        <v>198</v>
      </c>
      <c r="D55" s="78">
        <v>0</v>
      </c>
      <c r="E55" s="78">
        <v>3149.1682499999997</v>
      </c>
      <c r="F55" s="78">
        <v>0</v>
      </c>
      <c r="G55" s="277">
        <v>207</v>
      </c>
      <c r="H55" s="295" t="s">
        <v>126</v>
      </c>
      <c r="I55" s="77" t="s">
        <v>252</v>
      </c>
    </row>
    <row r="56" spans="1:9" x14ac:dyDescent="0.25">
      <c r="A56" s="289" t="s">
        <v>247</v>
      </c>
      <c r="B56" s="77"/>
      <c r="C56" s="77"/>
      <c r="D56" s="77" t="s">
        <v>498</v>
      </c>
      <c r="E56" s="77" t="s">
        <v>498</v>
      </c>
      <c r="F56" s="77" t="s">
        <v>501</v>
      </c>
      <c r="G56" s="290" t="s">
        <v>501</v>
      </c>
    </row>
    <row r="57" spans="1:9" x14ac:dyDescent="0.25">
      <c r="A57" s="291" t="s">
        <v>498</v>
      </c>
      <c r="B57" s="76"/>
      <c r="C57" s="76"/>
      <c r="D57" s="76" t="s">
        <v>499</v>
      </c>
      <c r="E57" s="76"/>
      <c r="F57" s="76"/>
      <c r="G57" s="251"/>
    </row>
    <row r="58" spans="1:9" x14ac:dyDescent="0.25">
      <c r="A58" s="292" t="s">
        <v>501</v>
      </c>
      <c r="B58" s="261"/>
      <c r="C58" s="261"/>
      <c r="D58" s="261" t="s">
        <v>500</v>
      </c>
      <c r="E58" s="261"/>
      <c r="F58" s="261"/>
      <c r="G58" s="262"/>
    </row>
    <row r="59" spans="1:9" ht="17.25" x14ac:dyDescent="0.25">
      <c r="A59" s="104" t="s">
        <v>555</v>
      </c>
    </row>
    <row r="60" spans="1:9" ht="17.25" x14ac:dyDescent="0.25">
      <c r="A60" s="179" t="s">
        <v>554</v>
      </c>
    </row>
    <row r="61" spans="1:9" x14ac:dyDescent="0.25">
      <c r="A61" s="2"/>
    </row>
    <row r="62" spans="1:9" x14ac:dyDescent="0.25">
      <c r="A62" s="2"/>
    </row>
    <row r="63" spans="1:9" x14ac:dyDescent="0.25">
      <c r="A63" s="2"/>
    </row>
    <row r="64" spans="1:9"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2"/>
    </row>
    <row r="80" spans="1:1" x14ac:dyDescent="0.25">
      <c r="A80" s="2"/>
    </row>
    <row r="81" spans="1:1" x14ac:dyDescent="0.25">
      <c r="A81" s="2"/>
    </row>
    <row r="82" spans="1:1" x14ac:dyDescent="0.25">
      <c r="A82" s="2"/>
    </row>
    <row r="83" spans="1:1" x14ac:dyDescent="0.25">
      <c r="A83" s="2"/>
    </row>
    <row r="84" spans="1:1" x14ac:dyDescent="0.25">
      <c r="A84" s="2"/>
    </row>
    <row r="85" spans="1:1" x14ac:dyDescent="0.25">
      <c r="A85" s="2"/>
    </row>
    <row r="86" spans="1:1" x14ac:dyDescent="0.25">
      <c r="A86" s="2"/>
    </row>
    <row r="87" spans="1:1" x14ac:dyDescent="0.25">
      <c r="A87" s="2"/>
    </row>
    <row r="88" spans="1:1" x14ac:dyDescent="0.25">
      <c r="A88" s="2"/>
    </row>
    <row r="89" spans="1:1" x14ac:dyDescent="0.25">
      <c r="A89" s="2"/>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sheetData>
  <conditionalFormatting sqref="A9:B9 D9:G9 A1:G8">
    <cfRule type="expression" dxfId="23" priority="18">
      <formula>MOD(ROW(),2)=0</formula>
    </cfRule>
  </conditionalFormatting>
  <conditionalFormatting sqref="B13:C13 H52:I52 H49:I49 H36:H37 H38:I38 H32:H34 H35:I35 H30 H31:I31 H28 H29:I29 H17:H26 H27:I27 H16:I16 H13:I14 H39:H48 H50:H51 H53:H55 H15 A14:E55">
    <cfRule type="expression" dxfId="22" priority="17">
      <formula>MOD(ROW(),2)=0</formula>
    </cfRule>
  </conditionalFormatting>
  <conditionalFormatting sqref="A56:G56 A57:B58 D57:G57 E58:G58">
    <cfRule type="expression" dxfId="21" priority="16">
      <formula>MOD(ROW(),2)=0</formula>
    </cfRule>
  </conditionalFormatting>
  <conditionalFormatting sqref="A13">
    <cfRule type="expression" dxfId="20" priority="15">
      <formula>MOD(ROW(),2)=0</formula>
    </cfRule>
  </conditionalFormatting>
  <conditionalFormatting sqref="D13:G13">
    <cfRule type="expression" dxfId="19" priority="14">
      <formula>MOD(ROW(),2)=0</formula>
    </cfRule>
  </conditionalFormatting>
  <conditionalFormatting sqref="I15">
    <cfRule type="expression" dxfId="18" priority="13">
      <formula>MOD(ROW(),2)=0</formula>
    </cfRule>
  </conditionalFormatting>
  <conditionalFormatting sqref="I17:I26">
    <cfRule type="expression" dxfId="17" priority="12">
      <formula>MOD(ROW(),2)=0</formula>
    </cfRule>
  </conditionalFormatting>
  <conditionalFormatting sqref="I28">
    <cfRule type="expression" dxfId="16" priority="11">
      <formula>MOD(ROW(),2)=0</formula>
    </cfRule>
  </conditionalFormatting>
  <conditionalFormatting sqref="I30">
    <cfRule type="expression" dxfId="15" priority="10">
      <formula>MOD(ROW(),2)=0</formula>
    </cfRule>
  </conditionalFormatting>
  <conditionalFormatting sqref="I32:I34">
    <cfRule type="expression" dxfId="14" priority="9">
      <formula>MOD(ROW(),2)=0</formula>
    </cfRule>
  </conditionalFormatting>
  <conditionalFormatting sqref="I36:I37">
    <cfRule type="expression" dxfId="13" priority="8">
      <formula>MOD(ROW(),2)=0</formula>
    </cfRule>
  </conditionalFormatting>
  <conditionalFormatting sqref="I39:I48">
    <cfRule type="expression" dxfId="12" priority="7">
      <formula>MOD(ROW(),2)=0</formula>
    </cfRule>
  </conditionalFormatting>
  <conditionalFormatting sqref="I50:I51">
    <cfRule type="expression" dxfId="11" priority="6">
      <formula>MOD(ROW(),2)=0</formula>
    </cfRule>
  </conditionalFormatting>
  <conditionalFormatting sqref="I53:I55">
    <cfRule type="expression" dxfId="10" priority="5">
      <formula>MOD(ROW(),2)=0</formula>
    </cfRule>
  </conditionalFormatting>
  <conditionalFormatting sqref="C57:C58">
    <cfRule type="expression" dxfId="9" priority="4">
      <formula>MOD(ROW(),2)=0</formula>
    </cfRule>
  </conditionalFormatting>
  <conditionalFormatting sqref="C9">
    <cfRule type="expression" dxfId="8" priority="3">
      <formula>MOD(ROW(),2)=0</formula>
    </cfRule>
  </conditionalFormatting>
  <conditionalFormatting sqref="F14:G55">
    <cfRule type="expression" dxfId="7" priority="2">
      <formula>MOD(ROW(),2)=0</formula>
    </cfRule>
  </conditionalFormatting>
  <conditionalFormatting sqref="D58">
    <cfRule type="expression" dxfId="6" priority="1">
      <formula>MOD(ROW(),2)=0</formula>
    </cfRule>
  </conditionalFormatting>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3" tint="0.39997558519241921"/>
  </sheetPr>
  <dimension ref="A1:A26"/>
  <sheetViews>
    <sheetView workbookViewId="0">
      <selection activeCell="A26" sqref="A26"/>
    </sheetView>
  </sheetViews>
  <sheetFormatPr defaultRowHeight="15" x14ac:dyDescent="0.25"/>
  <sheetData>
    <row r="1" spans="1:1" ht="17.25" x14ac:dyDescent="0.25">
      <c r="A1" s="49" t="s">
        <v>139</v>
      </c>
    </row>
    <row r="2" spans="1:1" ht="17.25" x14ac:dyDescent="0.25">
      <c r="A2" s="2" t="s">
        <v>172</v>
      </c>
    </row>
    <row r="3" spans="1:1" ht="17.25" x14ac:dyDescent="0.25">
      <c r="A3" s="2" t="s">
        <v>142</v>
      </c>
    </row>
    <row r="4" spans="1:1" ht="17.25" x14ac:dyDescent="0.25">
      <c r="A4" s="49" t="s">
        <v>140</v>
      </c>
    </row>
    <row r="5" spans="1:1" ht="17.25" x14ac:dyDescent="0.25">
      <c r="A5" s="2" t="s">
        <v>190</v>
      </c>
    </row>
    <row r="6" spans="1:1" ht="17.25" x14ac:dyDescent="0.25">
      <c r="A6" s="81" t="s">
        <v>160</v>
      </c>
    </row>
    <row r="7" spans="1:1" ht="17.25" x14ac:dyDescent="0.25">
      <c r="A7" s="2" t="s">
        <v>145</v>
      </c>
    </row>
    <row r="8" spans="1:1" ht="17.25" x14ac:dyDescent="0.25">
      <c r="A8" s="49" t="s">
        <v>159</v>
      </c>
    </row>
    <row r="9" spans="1:1" ht="17.25" x14ac:dyDescent="0.25">
      <c r="A9" s="2" t="s">
        <v>193</v>
      </c>
    </row>
    <row r="10" spans="1:1" ht="17.25" x14ac:dyDescent="0.25">
      <c r="A10" s="2" t="s">
        <v>158</v>
      </c>
    </row>
    <row r="11" spans="1:1" ht="17.25" x14ac:dyDescent="0.25">
      <c r="A11" s="2" t="s">
        <v>177</v>
      </c>
    </row>
    <row r="12" spans="1:1" ht="17.25" x14ac:dyDescent="0.25">
      <c r="A12" s="104" t="s">
        <v>253</v>
      </c>
    </row>
    <row r="13" spans="1:1" ht="17.25" x14ac:dyDescent="0.25">
      <c r="A13" s="2" t="s">
        <v>254</v>
      </c>
    </row>
    <row r="14" spans="1:1" ht="17.25" x14ac:dyDescent="0.25">
      <c r="A14" s="81" t="s">
        <v>255</v>
      </c>
    </row>
    <row r="15" spans="1:1" ht="17.25" x14ac:dyDescent="0.25">
      <c r="A15" s="81" t="s">
        <v>257</v>
      </c>
    </row>
    <row r="16" spans="1:1" ht="17.25" x14ac:dyDescent="0.25">
      <c r="A16" s="81" t="s">
        <v>256</v>
      </c>
    </row>
    <row r="17" spans="1:1" ht="17.25" x14ac:dyDescent="0.25">
      <c r="A17" s="81" t="s">
        <v>259</v>
      </c>
    </row>
    <row r="18" spans="1:1" ht="17.25" x14ac:dyDescent="0.25">
      <c r="A18" s="81" t="s">
        <v>260</v>
      </c>
    </row>
    <row r="19" spans="1:1" ht="17.25" x14ac:dyDescent="0.25">
      <c r="A19" s="81" t="s">
        <v>154</v>
      </c>
    </row>
    <row r="20" spans="1:1" ht="17.25" x14ac:dyDescent="0.25">
      <c r="A20" s="81" t="s">
        <v>269</v>
      </c>
    </row>
    <row r="21" spans="1:1" ht="17.25" x14ac:dyDescent="0.25">
      <c r="A21" s="81" t="s">
        <v>360</v>
      </c>
    </row>
    <row r="22" spans="1:1" ht="17.25" x14ac:dyDescent="0.25">
      <c r="A22" s="81" t="s">
        <v>374</v>
      </c>
    </row>
    <row r="23" spans="1:1" ht="17.25" x14ac:dyDescent="0.25">
      <c r="A23" s="81" t="s">
        <v>382</v>
      </c>
    </row>
    <row r="24" spans="1:1" ht="17.25" x14ac:dyDescent="0.25">
      <c r="A24" s="81" t="s">
        <v>409</v>
      </c>
    </row>
    <row r="25" spans="1:1" ht="17.25" x14ac:dyDescent="0.25">
      <c r="A25" s="81" t="s">
        <v>412</v>
      </c>
    </row>
    <row r="26" spans="1:1" ht="17.25" x14ac:dyDescent="0.25">
      <c r="A26" s="8" t="s">
        <v>455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N17"/>
  <sheetViews>
    <sheetView zoomScaleNormal="100" workbookViewId="0">
      <selection activeCell="K3" sqref="K3"/>
    </sheetView>
  </sheetViews>
  <sheetFormatPr defaultRowHeight="15" x14ac:dyDescent="0.25"/>
  <cols>
    <col min="1" max="1" width="19" style="12" bestFit="1" customWidth="1"/>
    <col min="2" max="2" width="11.28515625" style="12" bestFit="1" customWidth="1"/>
    <col min="3" max="5" width="10.5703125" style="12" bestFit="1" customWidth="1"/>
    <col min="6" max="6" width="10.5703125" style="11" bestFit="1" customWidth="1"/>
    <col min="7" max="7" width="10.7109375" style="11" bestFit="1" customWidth="1"/>
    <col min="8" max="8" width="10.7109375" style="11" customWidth="1"/>
    <col min="9" max="10" width="16.140625" style="11" customWidth="1"/>
    <col min="11" max="11" width="16.140625" style="13" customWidth="1"/>
    <col min="12" max="12" width="25.5703125" style="12" bestFit="1" customWidth="1"/>
    <col min="13" max="13" width="124.5703125" style="12" bestFit="1" customWidth="1"/>
    <col min="14" max="14" width="34.7109375" style="12" customWidth="1"/>
  </cols>
  <sheetData>
    <row r="1" spans="1:14" s="1" customFormat="1" ht="30" x14ac:dyDescent="0.25">
      <c r="A1" s="33" t="s">
        <v>0</v>
      </c>
      <c r="B1" s="34" t="s">
        <v>9</v>
      </c>
      <c r="C1" s="35" t="s">
        <v>1</v>
      </c>
      <c r="D1" s="34" t="str">
        <f>+'Output Table'!C1</f>
        <v>2014-15</v>
      </c>
      <c r="E1" s="34" t="str">
        <f>+'Output Table'!D1</f>
        <v>2015-16</v>
      </c>
      <c r="F1" s="34" t="str">
        <f>+'Output Table'!E1</f>
        <v>2016-17</v>
      </c>
      <c r="G1" s="34" t="str">
        <f>+'Output Table'!F1</f>
        <v>2017-18</v>
      </c>
      <c r="H1" s="34" t="str">
        <f>+'Output Table'!G1</f>
        <v>2018-19e</v>
      </c>
      <c r="I1" s="39" t="s">
        <v>136</v>
      </c>
      <c r="J1" s="41" t="s">
        <v>428</v>
      </c>
      <c r="K1" s="41" t="s">
        <v>422</v>
      </c>
      <c r="L1" s="34" t="s">
        <v>15</v>
      </c>
      <c r="M1" s="35" t="s">
        <v>16</v>
      </c>
      <c r="N1" s="10" t="s">
        <v>17</v>
      </c>
    </row>
    <row r="2" spans="1:14" s="2" customFormat="1" ht="15.75" customHeight="1" x14ac:dyDescent="0.25">
      <c r="A2" s="36" t="s">
        <v>5</v>
      </c>
      <c r="B2" s="14"/>
      <c r="C2" s="16" t="s">
        <v>11</v>
      </c>
      <c r="D2" s="17">
        <v>550.65843391999999</v>
      </c>
      <c r="E2" s="17">
        <v>690.17319586999997</v>
      </c>
      <c r="F2" s="17">
        <v>600.77303170000005</v>
      </c>
      <c r="G2" s="60">
        <v>340.18225279000001</v>
      </c>
      <c r="H2" s="60">
        <v>246.23065416536153</v>
      </c>
      <c r="I2" s="22">
        <f t="shared" ref="I2:I12" si="0">IF(ISBLANK(H2),"N/A",IF(ISNA(H2/G2-1),"N/A",IF(ISERROR(H2/G2-1),"N/A",H2/G2-1)))</f>
        <v>-0.27618018827877044</v>
      </c>
      <c r="J2" s="139">
        <f>IF(ISBLANK(H2),"",IF(ISNA(AVERAGE(D2:H2)),"N/A",IF(ISERROR(AVERAGE(D2:H2)),"N/A",AVERAGE(D2:H2))))</f>
        <v>485.60351368907232</v>
      </c>
      <c r="K2" s="22">
        <f t="shared" ref="K2:K12" si="1">IF(ISBLANK(H2),"",IF(ISNA(H2/AVERAGE(D2:H2)-1),"N/A",IF(ISERROR(H2/AVERAGE(D2:H2)-1),"N/A",H2/AVERAGE(D2:H2)-1)))</f>
        <v>-0.49293889516001144</v>
      </c>
      <c r="L2" s="14" t="s">
        <v>485</v>
      </c>
      <c r="M2" s="169" t="s">
        <v>484</v>
      </c>
      <c r="N2" s="49" t="s">
        <v>511</v>
      </c>
    </row>
    <row r="3" spans="1:14" s="2" customFormat="1" x14ac:dyDescent="0.25">
      <c r="A3" s="36" t="s">
        <v>20</v>
      </c>
      <c r="B3" s="24"/>
      <c r="C3" s="15" t="s">
        <v>22</v>
      </c>
      <c r="D3" s="20">
        <v>882.34699999999998</v>
      </c>
      <c r="E3" s="20">
        <v>966.18</v>
      </c>
      <c r="F3" s="20">
        <v>1056.3789999999999</v>
      </c>
      <c r="G3" s="20">
        <v>763.47</v>
      </c>
      <c r="H3" s="20">
        <v>600</v>
      </c>
      <c r="I3" s="87">
        <f t="shared" si="0"/>
        <v>-0.21411450351683758</v>
      </c>
      <c r="J3" s="140">
        <f t="shared" ref="J3:J12" si="2">IF(ISBLANK(H3),"",IF(ISNA(AVERAGE(D3:H3)),"N/A",IF(ISERROR(AVERAGE(D3:H3)),"N/A",AVERAGE(D3:H3))))</f>
        <v>853.67520000000002</v>
      </c>
      <c r="K3" s="87">
        <f t="shared" si="1"/>
        <v>-0.29715657664648099</v>
      </c>
      <c r="L3" s="14" t="s">
        <v>471</v>
      </c>
      <c r="M3" s="37" t="s">
        <v>472</v>
      </c>
      <c r="N3" s="23"/>
    </row>
    <row r="4" spans="1:14" s="2" customFormat="1" x14ac:dyDescent="0.25">
      <c r="A4" s="36" t="s">
        <v>21</v>
      </c>
      <c r="B4" s="24"/>
      <c r="C4" s="16" t="s">
        <v>23</v>
      </c>
      <c r="D4" s="19">
        <v>2.1180555949076725</v>
      </c>
      <c r="E4" s="19">
        <v>2.6161326046906379</v>
      </c>
      <c r="F4" s="19">
        <v>2.6809734006450339</v>
      </c>
      <c r="G4" s="19">
        <v>1.7088333529804707</v>
      </c>
      <c r="H4" s="19">
        <v>1.05</v>
      </c>
      <c r="I4" s="87">
        <f t="shared" si="0"/>
        <v>-0.3855457010078619</v>
      </c>
      <c r="J4" s="156">
        <f>J5/J3</f>
        <v>2.1467841633445599</v>
      </c>
      <c r="K4" s="87">
        <f t="shared" si="1"/>
        <v>-0.48397851344162079</v>
      </c>
      <c r="L4" s="14" t="s">
        <v>471</v>
      </c>
      <c r="M4" s="37" t="s">
        <v>472</v>
      </c>
      <c r="N4" s="23"/>
    </row>
    <row r="5" spans="1:14" s="2" customFormat="1" x14ac:dyDescent="0.25">
      <c r="A5" s="36" t="s">
        <v>6</v>
      </c>
      <c r="B5" s="14"/>
      <c r="C5" s="15" t="s">
        <v>12</v>
      </c>
      <c r="D5" s="20">
        <v>1868.86</v>
      </c>
      <c r="E5" s="20">
        <v>2527.6550000000002</v>
      </c>
      <c r="F5" s="20">
        <v>2832.1239999999998</v>
      </c>
      <c r="G5" s="20">
        <v>1304.643</v>
      </c>
      <c r="H5" s="20">
        <v>630</v>
      </c>
      <c r="I5" s="87">
        <f t="shared" si="0"/>
        <v>-0.51710927817035013</v>
      </c>
      <c r="J5" s="140">
        <f t="shared" si="2"/>
        <v>1832.6563999999998</v>
      </c>
      <c r="K5" s="87">
        <f t="shared" si="1"/>
        <v>-0.65623670645517618</v>
      </c>
      <c r="L5" s="14" t="s">
        <v>471</v>
      </c>
      <c r="M5" s="37" t="s">
        <v>472</v>
      </c>
      <c r="N5" s="23"/>
    </row>
    <row r="6" spans="1:14" s="2" customFormat="1" x14ac:dyDescent="0.25">
      <c r="A6" s="36" t="s">
        <v>7</v>
      </c>
      <c r="B6" s="14"/>
      <c r="C6" s="16" t="s">
        <v>13</v>
      </c>
      <c r="D6" s="21">
        <v>279.50700000000001</v>
      </c>
      <c r="E6" s="21">
        <v>253.16900000000001</v>
      </c>
      <c r="F6" s="21">
        <v>196.78800000000001</v>
      </c>
      <c r="G6" s="21">
        <v>246.46299999999999</v>
      </c>
      <c r="H6" s="21">
        <v>369.43099999999998</v>
      </c>
      <c r="I6" s="88">
        <f t="shared" si="0"/>
        <v>0.49893087400542879</v>
      </c>
      <c r="J6" s="141">
        <f t="shared" si="2"/>
        <v>269.07159999999999</v>
      </c>
      <c r="K6" s="88">
        <f t="shared" si="1"/>
        <v>0.37298399385145076</v>
      </c>
      <c r="L6" s="43" t="s">
        <v>473</v>
      </c>
      <c r="M6" s="44" t="s">
        <v>474</v>
      </c>
      <c r="N6" s="23"/>
    </row>
    <row r="7" spans="1:14" s="2" customFormat="1" x14ac:dyDescent="0.25">
      <c r="A7" s="324" t="s">
        <v>587</v>
      </c>
      <c r="B7" s="24" t="s">
        <v>8</v>
      </c>
      <c r="C7" s="16" t="s">
        <v>11</v>
      </c>
      <c r="D7" s="52">
        <v>0</v>
      </c>
      <c r="E7" s="52">
        <v>1.7000000000000001E-2</v>
      </c>
      <c r="F7" s="52">
        <v>7.6761999999999997E-2</v>
      </c>
      <c r="G7" s="52">
        <v>0</v>
      </c>
      <c r="H7" s="52">
        <v>0.21820300000000001</v>
      </c>
      <c r="I7" s="88" t="str">
        <f t="shared" si="0"/>
        <v>N/A</v>
      </c>
      <c r="J7" s="157">
        <f t="shared" si="2"/>
        <v>6.2392999999999997E-2</v>
      </c>
      <c r="K7" s="88">
        <f t="shared" si="1"/>
        <v>2.4972352667767219</v>
      </c>
      <c r="L7" s="14" t="s">
        <v>469</v>
      </c>
      <c r="M7" s="16" t="s">
        <v>470</v>
      </c>
      <c r="N7" s="49"/>
    </row>
    <row r="8" spans="1:14" s="2" customFormat="1" x14ac:dyDescent="0.25">
      <c r="A8" s="324"/>
      <c r="B8" s="26" t="s">
        <v>440</v>
      </c>
      <c r="C8" s="16" t="s">
        <v>11</v>
      </c>
      <c r="D8" s="52">
        <v>0</v>
      </c>
      <c r="E8" s="52">
        <v>0</v>
      </c>
      <c r="F8" s="52">
        <v>0</v>
      </c>
      <c r="G8" s="52">
        <v>0</v>
      </c>
      <c r="H8" s="52">
        <v>0.15563399999999999</v>
      </c>
      <c r="I8" s="88" t="str">
        <f t="shared" si="0"/>
        <v>N/A</v>
      </c>
      <c r="J8" s="157">
        <f t="shared" si="2"/>
        <v>3.11268E-2</v>
      </c>
      <c r="K8" s="88">
        <f t="shared" si="1"/>
        <v>4</v>
      </c>
      <c r="L8" s="14" t="s">
        <v>469</v>
      </c>
      <c r="M8" s="16" t="s">
        <v>470</v>
      </c>
      <c r="N8" s="49"/>
    </row>
    <row r="9" spans="1:14" s="2" customFormat="1" x14ac:dyDescent="0.25">
      <c r="A9" s="324"/>
      <c r="B9" s="26" t="s">
        <v>468</v>
      </c>
      <c r="C9" s="16" t="s">
        <v>11</v>
      </c>
      <c r="D9" s="52">
        <v>0</v>
      </c>
      <c r="E9" s="52">
        <v>0</v>
      </c>
      <c r="F9" s="52">
        <v>0</v>
      </c>
      <c r="G9" s="52">
        <v>0</v>
      </c>
      <c r="H9" s="52">
        <v>3.9012999999999999E-2</v>
      </c>
      <c r="I9" s="88" t="str">
        <f t="shared" si="0"/>
        <v>N/A</v>
      </c>
      <c r="J9" s="157">
        <f t="shared" si="2"/>
        <v>7.8025999999999998E-3</v>
      </c>
      <c r="K9" s="88">
        <f t="shared" si="1"/>
        <v>4</v>
      </c>
      <c r="L9" s="14" t="s">
        <v>469</v>
      </c>
      <c r="M9" s="16" t="s">
        <v>470</v>
      </c>
      <c r="N9" s="49"/>
    </row>
    <row r="10" spans="1:14" s="2" customFormat="1" x14ac:dyDescent="0.25">
      <c r="A10" s="324"/>
      <c r="B10" s="26" t="s">
        <v>441</v>
      </c>
      <c r="C10" s="16" t="s">
        <v>11</v>
      </c>
      <c r="D10" s="52">
        <v>0</v>
      </c>
      <c r="E10" s="52">
        <v>0</v>
      </c>
      <c r="F10" s="52">
        <v>0</v>
      </c>
      <c r="G10" s="52">
        <v>0</v>
      </c>
      <c r="H10" s="52">
        <v>1.6333E-2</v>
      </c>
      <c r="I10" s="88" t="str">
        <f t="shared" si="0"/>
        <v>N/A</v>
      </c>
      <c r="J10" s="157">
        <f t="shared" si="2"/>
        <v>3.2666000000000001E-3</v>
      </c>
      <c r="K10" s="88">
        <f t="shared" si="1"/>
        <v>4</v>
      </c>
      <c r="L10" s="14" t="s">
        <v>469</v>
      </c>
      <c r="M10" s="16" t="s">
        <v>470</v>
      </c>
      <c r="N10" s="49"/>
    </row>
    <row r="11" spans="1:14" s="2" customFormat="1" x14ac:dyDescent="0.25">
      <c r="A11" s="36" t="s">
        <v>10</v>
      </c>
      <c r="B11" s="24" t="s">
        <v>8</v>
      </c>
      <c r="C11" s="16" t="s">
        <v>11</v>
      </c>
      <c r="D11" s="166">
        <v>0.200826</v>
      </c>
      <c r="E11" s="167">
        <v>0.16880200000000001</v>
      </c>
      <c r="F11" s="167">
        <v>0.196991</v>
      </c>
      <c r="G11" s="167">
        <v>0.14982400000000001</v>
      </c>
      <c r="H11" s="167">
        <v>0.13936499999999999</v>
      </c>
      <c r="I11" s="87">
        <f t="shared" si="0"/>
        <v>-6.9808575395130412E-2</v>
      </c>
      <c r="J11" s="155">
        <f t="shared" si="2"/>
        <v>0.17116159999999997</v>
      </c>
      <c r="K11" s="87">
        <f t="shared" si="1"/>
        <v>-0.18576947165719404</v>
      </c>
      <c r="L11" s="14" t="s">
        <v>469</v>
      </c>
      <c r="M11" s="16" t="s">
        <v>470</v>
      </c>
      <c r="N11" s="49"/>
    </row>
    <row r="12" spans="1:14" s="2" customFormat="1" ht="15.75" x14ac:dyDescent="0.25">
      <c r="A12" s="226" t="s">
        <v>533</v>
      </c>
      <c r="B12" s="122" t="s">
        <v>8</v>
      </c>
      <c r="C12" s="55" t="s">
        <v>11</v>
      </c>
      <c r="D12" s="223">
        <f t="shared" ref="D12:H12" si="3">D7-D11</f>
        <v>-0.200826</v>
      </c>
      <c r="E12" s="224">
        <f t="shared" si="3"/>
        <v>-0.15180199999999999</v>
      </c>
      <c r="F12" s="224">
        <f t="shared" si="3"/>
        <v>-0.120229</v>
      </c>
      <c r="G12" s="224">
        <f t="shared" si="3"/>
        <v>-0.14982400000000001</v>
      </c>
      <c r="H12" s="224">
        <f t="shared" si="3"/>
        <v>7.8838000000000019E-2</v>
      </c>
      <c r="I12" s="89">
        <f t="shared" si="0"/>
        <v>-1.5262040794532252</v>
      </c>
      <c r="J12" s="225">
        <f t="shared" si="2"/>
        <v>-0.10876860000000002</v>
      </c>
      <c r="K12" s="89">
        <f t="shared" si="1"/>
        <v>-1.7248231566830867</v>
      </c>
      <c r="L12" s="58" t="s">
        <v>469</v>
      </c>
      <c r="M12" s="55" t="s">
        <v>470</v>
      </c>
      <c r="N12" s="49"/>
    </row>
    <row r="13" spans="1:14" x14ac:dyDescent="0.25">
      <c r="A13" s="53" t="s">
        <v>80</v>
      </c>
    </row>
    <row r="14" spans="1:14" ht="17.25" x14ac:dyDescent="0.25">
      <c r="A14" s="81" t="s">
        <v>519</v>
      </c>
    </row>
    <row r="15" spans="1:14" ht="17.25" x14ac:dyDescent="0.25">
      <c r="A15" s="81" t="s">
        <v>532</v>
      </c>
    </row>
    <row r="16" spans="1:14" ht="17.25" x14ac:dyDescent="0.25">
      <c r="A16" s="49" t="s">
        <v>521</v>
      </c>
    </row>
    <row r="17" spans="1:1" ht="17.25" x14ac:dyDescent="0.25">
      <c r="A17" s="12" t="s">
        <v>525</v>
      </c>
    </row>
  </sheetData>
  <mergeCells count="1">
    <mergeCell ref="A7:A10"/>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3" tint="0.39997558519241921"/>
  </sheetPr>
  <dimension ref="A1:C66"/>
  <sheetViews>
    <sheetView workbookViewId="0">
      <selection activeCell="C13" sqref="C13"/>
    </sheetView>
  </sheetViews>
  <sheetFormatPr defaultRowHeight="15" x14ac:dyDescent="0.25"/>
  <cols>
    <col min="1" max="1" width="16.7109375" style="132" bestFit="1" customWidth="1"/>
    <col min="2" max="2" width="23.42578125" bestFit="1" customWidth="1"/>
    <col min="3" max="3" width="255.7109375" bestFit="1" customWidth="1"/>
  </cols>
  <sheetData>
    <row r="1" spans="1:3" x14ac:dyDescent="0.25">
      <c r="A1" s="131" t="s">
        <v>413</v>
      </c>
      <c r="B1" s="1" t="s">
        <v>261</v>
      </c>
      <c r="C1" s="1" t="s">
        <v>262</v>
      </c>
    </row>
    <row r="2" spans="1:3" x14ac:dyDescent="0.25">
      <c r="A2" s="132">
        <v>1</v>
      </c>
      <c r="B2" s="81" t="s">
        <v>59</v>
      </c>
      <c r="C2" s="109" t="s">
        <v>303</v>
      </c>
    </row>
    <row r="3" spans="1:3" x14ac:dyDescent="0.25">
      <c r="A3" s="132">
        <v>2</v>
      </c>
      <c r="B3" s="81" t="s">
        <v>24</v>
      </c>
      <c r="C3" s="107" t="s">
        <v>292</v>
      </c>
    </row>
    <row r="4" spans="1:3" x14ac:dyDescent="0.25">
      <c r="A4" s="132">
        <v>3</v>
      </c>
      <c r="B4" s="108" t="s">
        <v>25</v>
      </c>
      <c r="C4" s="107" t="s">
        <v>293</v>
      </c>
    </row>
    <row r="5" spans="1:3" x14ac:dyDescent="0.25">
      <c r="A5" s="132">
        <v>4</v>
      </c>
      <c r="B5" s="108" t="s">
        <v>304</v>
      </c>
      <c r="C5" s="109" t="s">
        <v>305</v>
      </c>
    </row>
    <row r="6" spans="1:3" x14ac:dyDescent="0.25">
      <c r="A6" s="132">
        <v>5</v>
      </c>
      <c r="B6" s="81" t="s">
        <v>400</v>
      </c>
      <c r="C6" s="3" t="s">
        <v>399</v>
      </c>
    </row>
    <row r="7" spans="1:3" x14ac:dyDescent="0.25">
      <c r="A7" s="132">
        <v>6</v>
      </c>
      <c r="B7" s="81" t="s">
        <v>263</v>
      </c>
      <c r="C7" s="107" t="s">
        <v>296</v>
      </c>
    </row>
    <row r="8" spans="1:3" x14ac:dyDescent="0.25">
      <c r="A8" s="132">
        <v>7</v>
      </c>
      <c r="B8" s="108" t="s">
        <v>43</v>
      </c>
      <c r="C8" s="109" t="s">
        <v>295</v>
      </c>
    </row>
    <row r="9" spans="1:3" x14ac:dyDescent="0.25">
      <c r="A9" s="132">
        <v>8</v>
      </c>
      <c r="B9" s="108" t="s">
        <v>56</v>
      </c>
      <c r="C9" s="107" t="s">
        <v>299</v>
      </c>
    </row>
    <row r="10" spans="1:3" x14ac:dyDescent="0.25">
      <c r="A10" s="132">
        <v>9</v>
      </c>
      <c r="B10" s="108" t="s">
        <v>85</v>
      </c>
      <c r="C10" s="107" t="s">
        <v>298</v>
      </c>
    </row>
    <row r="11" spans="1:3" x14ac:dyDescent="0.25">
      <c r="A11" s="132">
        <v>10</v>
      </c>
      <c r="B11" s="81" t="s">
        <v>86</v>
      </c>
      <c r="C11" s="107" t="s">
        <v>294</v>
      </c>
    </row>
    <row r="12" spans="1:3" x14ac:dyDescent="0.25">
      <c r="A12" s="132">
        <v>11</v>
      </c>
      <c r="B12" s="81" t="s">
        <v>244</v>
      </c>
      <c r="C12" s="107" t="s">
        <v>245</v>
      </c>
    </row>
    <row r="13" spans="1:3" x14ac:dyDescent="0.25">
      <c r="A13" s="132">
        <v>12</v>
      </c>
      <c r="B13" s="81" t="s">
        <v>398</v>
      </c>
      <c r="C13" s="107" t="s">
        <v>246</v>
      </c>
    </row>
    <row r="14" spans="1:3" x14ac:dyDescent="0.25">
      <c r="A14" s="132">
        <v>13</v>
      </c>
      <c r="B14" s="81" t="s">
        <v>408</v>
      </c>
      <c r="C14" s="128" t="s">
        <v>407</v>
      </c>
    </row>
    <row r="15" spans="1:3" x14ac:dyDescent="0.25">
      <c r="A15" s="132">
        <v>14</v>
      </c>
      <c r="B15" s="81" t="s">
        <v>358</v>
      </c>
      <c r="C15" s="3" t="s">
        <v>359</v>
      </c>
    </row>
    <row r="16" spans="1:3" x14ac:dyDescent="0.25">
      <c r="A16" s="132">
        <v>15</v>
      </c>
      <c r="B16" s="81" t="s">
        <v>380</v>
      </c>
      <c r="C16" s="107" t="s">
        <v>381</v>
      </c>
    </row>
    <row r="17" spans="1:3" x14ac:dyDescent="0.25">
      <c r="A17" s="132">
        <v>16</v>
      </c>
      <c r="B17" s="81" t="s">
        <v>367</v>
      </c>
      <c r="C17" s="3" t="s">
        <v>368</v>
      </c>
    </row>
    <row r="18" spans="1:3" x14ac:dyDescent="0.25">
      <c r="A18" s="132">
        <v>17</v>
      </c>
      <c r="B18" s="81" t="s">
        <v>362</v>
      </c>
      <c r="C18" s="3" t="s">
        <v>361</v>
      </c>
    </row>
    <row r="19" spans="1:3" x14ac:dyDescent="0.25">
      <c r="A19" s="132">
        <v>18</v>
      </c>
      <c r="B19" s="81" t="s">
        <v>363</v>
      </c>
      <c r="C19" s="3" t="s">
        <v>364</v>
      </c>
    </row>
    <row r="20" spans="1:3" x14ac:dyDescent="0.25">
      <c r="A20" s="132">
        <v>19</v>
      </c>
      <c r="B20" s="108" t="s">
        <v>34</v>
      </c>
      <c r="C20" s="127" t="s">
        <v>300</v>
      </c>
    </row>
    <row r="21" spans="1:3" x14ac:dyDescent="0.25">
      <c r="A21" s="132">
        <v>20</v>
      </c>
      <c r="B21" s="81" t="s">
        <v>342</v>
      </c>
      <c r="C21" s="3" t="s">
        <v>340</v>
      </c>
    </row>
    <row r="22" spans="1:3" x14ac:dyDescent="0.25">
      <c r="A22" s="132">
        <v>21</v>
      </c>
      <c r="B22" s="81" t="s">
        <v>341</v>
      </c>
      <c r="C22" s="3" t="s">
        <v>343</v>
      </c>
    </row>
    <row r="23" spans="1:3" x14ac:dyDescent="0.25">
      <c r="A23" s="132">
        <v>22</v>
      </c>
      <c r="B23" s="81" t="s">
        <v>332</v>
      </c>
      <c r="C23" t="s">
        <v>333</v>
      </c>
    </row>
    <row r="24" spans="1:3" x14ac:dyDescent="0.25">
      <c r="A24" s="132">
        <v>23</v>
      </c>
      <c r="B24" s="81" t="s">
        <v>309</v>
      </c>
      <c r="C24" s="123" t="s">
        <v>310</v>
      </c>
    </row>
    <row r="25" spans="1:3" x14ac:dyDescent="0.25">
      <c r="A25" s="132">
        <v>24</v>
      </c>
      <c r="B25" s="81" t="s">
        <v>351</v>
      </c>
      <c r="C25" t="s">
        <v>352</v>
      </c>
    </row>
    <row r="26" spans="1:3" x14ac:dyDescent="0.25">
      <c r="A26" s="132">
        <v>25</v>
      </c>
      <c r="B26" s="81" t="s">
        <v>315</v>
      </c>
      <c r="C26" t="s">
        <v>316</v>
      </c>
    </row>
    <row r="27" spans="1:3" x14ac:dyDescent="0.25">
      <c r="A27" s="132">
        <v>26</v>
      </c>
      <c r="B27" s="81" t="s">
        <v>344</v>
      </c>
      <c r="C27" t="s">
        <v>345</v>
      </c>
    </row>
    <row r="28" spans="1:3" x14ac:dyDescent="0.25">
      <c r="A28" s="132">
        <v>27</v>
      </c>
      <c r="B28" s="108" t="s">
        <v>267</v>
      </c>
      <c r="C28" s="129" t="s">
        <v>350</v>
      </c>
    </row>
    <row r="29" spans="1:3" x14ac:dyDescent="0.25">
      <c r="A29" s="132">
        <v>28</v>
      </c>
      <c r="B29" s="108" t="s">
        <v>268</v>
      </c>
      <c r="C29" s="127" t="s">
        <v>353</v>
      </c>
    </row>
    <row r="30" spans="1:3" x14ac:dyDescent="0.25">
      <c r="A30" s="132">
        <v>29</v>
      </c>
      <c r="B30" s="81" t="s">
        <v>354</v>
      </c>
      <c r="C30" t="s">
        <v>355</v>
      </c>
    </row>
    <row r="31" spans="1:3" x14ac:dyDescent="0.25">
      <c r="A31" s="132">
        <v>30</v>
      </c>
      <c r="B31" s="81" t="s">
        <v>320</v>
      </c>
      <c r="C31" t="s">
        <v>319</v>
      </c>
    </row>
    <row r="32" spans="1:3" x14ac:dyDescent="0.25">
      <c r="A32" s="132">
        <v>31</v>
      </c>
      <c r="B32" s="81" t="s">
        <v>322</v>
      </c>
      <c r="C32" t="s">
        <v>321</v>
      </c>
    </row>
    <row r="33" spans="1:3" x14ac:dyDescent="0.25">
      <c r="A33" s="132">
        <v>32</v>
      </c>
      <c r="B33" s="81" t="s">
        <v>264</v>
      </c>
      <c r="C33" s="123" t="s">
        <v>265</v>
      </c>
    </row>
    <row r="34" spans="1:3" x14ac:dyDescent="0.25">
      <c r="A34" s="132">
        <v>33</v>
      </c>
      <c r="B34" s="81" t="s">
        <v>112</v>
      </c>
      <c r="C34" s="123" t="s">
        <v>301</v>
      </c>
    </row>
    <row r="35" spans="1:3" x14ac:dyDescent="0.25">
      <c r="A35" s="132">
        <v>34</v>
      </c>
      <c r="B35" s="81" t="s">
        <v>114</v>
      </c>
      <c r="C35" s="123" t="s">
        <v>302</v>
      </c>
    </row>
    <row r="36" spans="1:3" x14ac:dyDescent="0.25">
      <c r="A36" s="132">
        <v>35</v>
      </c>
      <c r="B36" s="81" t="s">
        <v>375</v>
      </c>
      <c r="C36" s="123" t="s">
        <v>308</v>
      </c>
    </row>
    <row r="37" spans="1:3" x14ac:dyDescent="0.25">
      <c r="A37" s="132">
        <v>36</v>
      </c>
      <c r="B37" s="81" t="s">
        <v>376</v>
      </c>
      <c r="C37" s="123" t="s">
        <v>377</v>
      </c>
    </row>
    <row r="38" spans="1:3" x14ac:dyDescent="0.25">
      <c r="A38" s="132">
        <v>37</v>
      </c>
      <c r="B38" s="81" t="s">
        <v>378</v>
      </c>
      <c r="C38" s="123" t="s">
        <v>379</v>
      </c>
    </row>
    <row r="39" spans="1:3" x14ac:dyDescent="0.25">
      <c r="A39" s="132">
        <v>38</v>
      </c>
      <c r="B39" s="81" t="s">
        <v>338</v>
      </c>
      <c r="C39" t="s">
        <v>339</v>
      </c>
    </row>
    <row r="40" spans="1:3" x14ac:dyDescent="0.25">
      <c r="A40" s="132">
        <v>39</v>
      </c>
      <c r="B40" s="81" t="s">
        <v>346</v>
      </c>
      <c r="C40" t="s">
        <v>347</v>
      </c>
    </row>
    <row r="41" spans="1:3" x14ac:dyDescent="0.25">
      <c r="A41" s="132">
        <v>40</v>
      </c>
      <c r="B41" s="81" t="s">
        <v>410</v>
      </c>
      <c r="C41" s="123" t="s">
        <v>411</v>
      </c>
    </row>
    <row r="42" spans="1:3" x14ac:dyDescent="0.25">
      <c r="A42" s="132">
        <v>41</v>
      </c>
      <c r="B42" s="81" t="s">
        <v>334</v>
      </c>
      <c r="C42" t="s">
        <v>414</v>
      </c>
    </row>
    <row r="43" spans="1:3" x14ac:dyDescent="0.25">
      <c r="A43" s="132">
        <v>42</v>
      </c>
      <c r="B43" s="81" t="s">
        <v>357</v>
      </c>
      <c r="C43" t="s">
        <v>356</v>
      </c>
    </row>
    <row r="44" spans="1:3" x14ac:dyDescent="0.25">
      <c r="A44" s="132">
        <v>43</v>
      </c>
      <c r="B44" s="81" t="s">
        <v>26</v>
      </c>
      <c r="C44" s="81" t="s">
        <v>79</v>
      </c>
    </row>
    <row r="45" spans="1:3" x14ac:dyDescent="0.25">
      <c r="A45" s="132">
        <v>44</v>
      </c>
      <c r="B45" s="81" t="s">
        <v>372</v>
      </c>
      <c r="C45" s="12" t="s">
        <v>373</v>
      </c>
    </row>
    <row r="46" spans="1:3" x14ac:dyDescent="0.25">
      <c r="A46" s="132">
        <v>45</v>
      </c>
      <c r="B46" s="81" t="s">
        <v>370</v>
      </c>
      <c r="C46" t="s">
        <v>371</v>
      </c>
    </row>
    <row r="47" spans="1:3" x14ac:dyDescent="0.25">
      <c r="A47" s="132">
        <v>46</v>
      </c>
      <c r="B47" s="81" t="s">
        <v>406</v>
      </c>
      <c r="C47" s="130" t="s">
        <v>405</v>
      </c>
    </row>
    <row r="48" spans="1:3" x14ac:dyDescent="0.25">
      <c r="A48" s="132">
        <v>47</v>
      </c>
      <c r="B48" s="81" t="s">
        <v>337</v>
      </c>
      <c r="C48" s="12" t="s">
        <v>325</v>
      </c>
    </row>
    <row r="49" spans="1:3" x14ac:dyDescent="0.25">
      <c r="A49" s="132">
        <v>48</v>
      </c>
      <c r="B49" s="81" t="s">
        <v>336</v>
      </c>
      <c r="C49" s="12" t="s">
        <v>335</v>
      </c>
    </row>
    <row r="50" spans="1:3" x14ac:dyDescent="0.25">
      <c r="A50" s="132">
        <v>49</v>
      </c>
      <c r="B50" s="81" t="s">
        <v>349</v>
      </c>
      <c r="C50" s="12" t="s">
        <v>348</v>
      </c>
    </row>
    <row r="51" spans="1:3" x14ac:dyDescent="0.25">
      <c r="A51" s="132">
        <v>50</v>
      </c>
      <c r="B51" s="108" t="s">
        <v>37</v>
      </c>
      <c r="C51" s="127" t="s">
        <v>297</v>
      </c>
    </row>
    <row r="52" spans="1:3" x14ac:dyDescent="0.25">
      <c r="A52" s="132">
        <v>51</v>
      </c>
      <c r="B52" s="81" t="s">
        <v>365</v>
      </c>
      <c r="C52" s="12" t="s">
        <v>366</v>
      </c>
    </row>
    <row r="53" spans="1:3" x14ac:dyDescent="0.25">
      <c r="A53" s="132">
        <v>52</v>
      </c>
      <c r="B53" s="81" t="s">
        <v>326</v>
      </c>
      <c r="C53" s="12" t="s">
        <v>327</v>
      </c>
    </row>
    <row r="54" spans="1:3" x14ac:dyDescent="0.25">
      <c r="A54" s="132">
        <v>53</v>
      </c>
      <c r="B54" s="81" t="s">
        <v>311</v>
      </c>
      <c r="C54" s="12" t="s">
        <v>312</v>
      </c>
    </row>
    <row r="55" spans="1:3" x14ac:dyDescent="0.25">
      <c r="A55" s="132">
        <v>54</v>
      </c>
      <c r="B55" s="81" t="s">
        <v>318</v>
      </c>
      <c r="C55" s="3" t="s">
        <v>317</v>
      </c>
    </row>
    <row r="56" spans="1:3" x14ac:dyDescent="0.25">
      <c r="A56" s="132">
        <v>55</v>
      </c>
      <c r="B56" s="81" t="s">
        <v>307</v>
      </c>
      <c r="C56" s="107" t="s">
        <v>306</v>
      </c>
    </row>
    <row r="57" spans="1:3" x14ac:dyDescent="0.25">
      <c r="A57" s="132">
        <v>56</v>
      </c>
      <c r="B57" s="81" t="s">
        <v>404</v>
      </c>
      <c r="C57" s="12" t="s">
        <v>402</v>
      </c>
    </row>
    <row r="58" spans="1:3" x14ac:dyDescent="0.25">
      <c r="A58" s="132">
        <v>57</v>
      </c>
      <c r="B58" s="81" t="s">
        <v>403</v>
      </c>
      <c r="C58" s="12" t="s">
        <v>401</v>
      </c>
    </row>
    <row r="59" spans="1:3" x14ac:dyDescent="0.25">
      <c r="A59" s="132">
        <v>58</v>
      </c>
      <c r="B59" s="81" t="s">
        <v>328</v>
      </c>
      <c r="C59" s="12" t="s">
        <v>329</v>
      </c>
    </row>
    <row r="60" spans="1:3" x14ac:dyDescent="0.25">
      <c r="A60" s="132">
        <v>59</v>
      </c>
      <c r="B60" s="108" t="s">
        <v>36</v>
      </c>
      <c r="C60" s="127" t="s">
        <v>44</v>
      </c>
    </row>
    <row r="61" spans="1:3" x14ac:dyDescent="0.25">
      <c r="A61" s="132">
        <v>60</v>
      </c>
      <c r="B61" s="81" t="s">
        <v>313</v>
      </c>
      <c r="C61" s="12" t="s">
        <v>314</v>
      </c>
    </row>
    <row r="62" spans="1:3" x14ac:dyDescent="0.25">
      <c r="A62" s="132">
        <v>61</v>
      </c>
      <c r="B62" s="81" t="s">
        <v>323</v>
      </c>
      <c r="C62" s="12" t="s">
        <v>324</v>
      </c>
    </row>
    <row r="63" spans="1:3" x14ac:dyDescent="0.25">
      <c r="A63" s="132">
        <v>62</v>
      </c>
      <c r="B63" s="81" t="s">
        <v>330</v>
      </c>
      <c r="C63" s="12" t="s">
        <v>331</v>
      </c>
    </row>
    <row r="64" spans="1:3" x14ac:dyDescent="0.25">
      <c r="A64" s="132">
        <v>63</v>
      </c>
      <c r="B64" s="108" t="s">
        <v>266</v>
      </c>
      <c r="C64" s="107" t="s">
        <v>369</v>
      </c>
    </row>
    <row r="65" spans="1:3" x14ac:dyDescent="0.25">
      <c r="A65" s="132">
        <v>64</v>
      </c>
      <c r="B65" s="81" t="s">
        <v>415</v>
      </c>
      <c r="C65" s="123" t="s">
        <v>418</v>
      </c>
    </row>
    <row r="66" spans="1:3" x14ac:dyDescent="0.25">
      <c r="A66" s="132">
        <v>65</v>
      </c>
      <c r="B66" s="81" t="s">
        <v>416</v>
      </c>
      <c r="C66" s="123" t="s">
        <v>417</v>
      </c>
    </row>
  </sheetData>
  <sortState ref="B2:C64">
    <sortCondition ref="B2"/>
  </sortState>
  <pageMargins left="0.7" right="0.7" top="0.75" bottom="0.75" header="0.3" footer="0.3"/>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25"/>
  <sheetViews>
    <sheetView workbookViewId="0">
      <selection activeCell="N16" sqref="N16"/>
    </sheetView>
  </sheetViews>
  <sheetFormatPr defaultRowHeight="15" x14ac:dyDescent="0.25"/>
  <cols>
    <col min="1" max="7" width="8.85546875" style="215"/>
  </cols>
  <sheetData>
    <row r="1" spans="1:1" ht="17.25" x14ac:dyDescent="0.25">
      <c r="A1" s="81" t="s">
        <v>139</v>
      </c>
    </row>
    <row r="2" spans="1:1" ht="17.25" x14ac:dyDescent="0.25">
      <c r="A2" s="179" t="s">
        <v>420</v>
      </c>
    </row>
    <row r="3" spans="1:1" ht="17.25" x14ac:dyDescent="0.25">
      <c r="A3" s="179" t="s">
        <v>588</v>
      </c>
    </row>
    <row r="4" spans="1:1" ht="17.25" x14ac:dyDescent="0.25">
      <c r="A4" s="81" t="s">
        <v>519</v>
      </c>
    </row>
    <row r="5" spans="1:1" ht="17.25" x14ac:dyDescent="0.25">
      <c r="A5" s="179" t="s">
        <v>520</v>
      </c>
    </row>
    <row r="6" spans="1:1" ht="17.25" x14ac:dyDescent="0.25">
      <c r="A6" s="179" t="s">
        <v>526</v>
      </c>
    </row>
    <row r="7" spans="1:1" ht="17.25" x14ac:dyDescent="0.25">
      <c r="A7" s="81" t="s">
        <v>527</v>
      </c>
    </row>
    <row r="8" spans="1:1" ht="17.25" x14ac:dyDescent="0.25">
      <c r="A8" s="179" t="s">
        <v>528</v>
      </c>
    </row>
    <row r="9" spans="1:1" ht="17.25" x14ac:dyDescent="0.25">
      <c r="A9" s="213" t="s">
        <v>525</v>
      </c>
    </row>
    <row r="10" spans="1:1" ht="17.25" x14ac:dyDescent="0.25">
      <c r="A10" s="179" t="s">
        <v>524</v>
      </c>
    </row>
    <row r="11" spans="1:1" ht="17.25" x14ac:dyDescent="0.25">
      <c r="A11" s="104" t="s">
        <v>523</v>
      </c>
    </row>
    <row r="12" spans="1:1" ht="17.25" x14ac:dyDescent="0.25">
      <c r="A12" s="179" t="s">
        <v>522</v>
      </c>
    </row>
    <row r="13" spans="1:1" ht="17.25" x14ac:dyDescent="0.25">
      <c r="A13" s="81" t="s">
        <v>521</v>
      </c>
    </row>
    <row r="14" spans="1:1" ht="17.25" x14ac:dyDescent="0.25">
      <c r="A14" s="81" t="s">
        <v>532</v>
      </c>
    </row>
    <row r="15" spans="1:1" ht="17.25" x14ac:dyDescent="0.25">
      <c r="A15" s="213" t="s">
        <v>258</v>
      </c>
    </row>
    <row r="16" spans="1:1" ht="17.25" x14ac:dyDescent="0.25">
      <c r="A16" s="213" t="s">
        <v>518</v>
      </c>
    </row>
    <row r="17" spans="1:1" ht="17.25" x14ac:dyDescent="0.25">
      <c r="A17" s="213" t="s">
        <v>517</v>
      </c>
    </row>
    <row r="18" spans="1:1" ht="17.25" x14ac:dyDescent="0.25">
      <c r="A18" s="81" t="s">
        <v>154</v>
      </c>
    </row>
    <row r="19" spans="1:1" ht="17.25" x14ac:dyDescent="0.25">
      <c r="A19" s="81" t="s">
        <v>269</v>
      </c>
    </row>
    <row r="20" spans="1:1" ht="17.25" x14ac:dyDescent="0.25">
      <c r="A20" s="81" t="s">
        <v>360</v>
      </c>
    </row>
    <row r="21" spans="1:1" ht="17.25" x14ac:dyDescent="0.25">
      <c r="A21" s="81" t="s">
        <v>516</v>
      </c>
    </row>
    <row r="22" spans="1:1" ht="17.25" x14ac:dyDescent="0.25">
      <c r="A22" s="214" t="s">
        <v>456</v>
      </c>
    </row>
    <row r="23" spans="1:1" x14ac:dyDescent="0.25">
      <c r="A23" s="179"/>
    </row>
    <row r="24" spans="1:1" x14ac:dyDescent="0.25">
      <c r="A24" s="214"/>
    </row>
    <row r="25" spans="1:1" x14ac:dyDescent="0.25">
      <c r="A25" s="179"/>
    </row>
  </sheetData>
  <sortState ref="A1:A27">
    <sortCondition ref="A16"/>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N17"/>
  <sheetViews>
    <sheetView workbookViewId="0"/>
  </sheetViews>
  <sheetFormatPr defaultRowHeight="15" x14ac:dyDescent="0.25"/>
  <cols>
    <col min="1" max="1" width="19" style="12" bestFit="1" customWidth="1"/>
    <col min="2" max="2" width="20.140625" style="12" bestFit="1" customWidth="1"/>
    <col min="3" max="5" width="10.5703125" style="12" bestFit="1" customWidth="1"/>
    <col min="6" max="6" width="10.5703125" style="11" bestFit="1" customWidth="1"/>
    <col min="7" max="7" width="10.7109375" style="11" bestFit="1" customWidth="1"/>
    <col min="8" max="8" width="10.7109375" style="11" customWidth="1"/>
    <col min="9" max="10" width="18.42578125" style="11" customWidth="1"/>
    <col min="11" max="11" width="18.7109375" style="13" customWidth="1"/>
    <col min="12" max="12" width="25.5703125" style="12" bestFit="1" customWidth="1"/>
    <col min="13" max="13" width="255.7109375" style="12" bestFit="1" customWidth="1"/>
    <col min="14" max="14" width="34.7109375" style="12" customWidth="1"/>
  </cols>
  <sheetData>
    <row r="1" spans="1:14" s="1" customFormat="1" ht="30" x14ac:dyDescent="0.25">
      <c r="A1" s="33" t="s">
        <v>0</v>
      </c>
      <c r="B1" s="34" t="s">
        <v>9</v>
      </c>
      <c r="C1" s="35" t="s">
        <v>1</v>
      </c>
      <c r="D1" s="34" t="str">
        <f>+'Output Table'!C1</f>
        <v>2014-15</v>
      </c>
      <c r="E1" s="34" t="str">
        <f>+'Output Table'!D1</f>
        <v>2015-16</v>
      </c>
      <c r="F1" s="34" t="str">
        <f>+'Output Table'!E1</f>
        <v>2016-17</v>
      </c>
      <c r="G1" s="34" t="str">
        <f>+'Output Table'!F1</f>
        <v>2017-18</v>
      </c>
      <c r="H1" s="34" t="str">
        <f>+'Output Table'!G1</f>
        <v>2018-19e</v>
      </c>
      <c r="I1" s="39" t="s">
        <v>136</v>
      </c>
      <c r="J1" s="41" t="s">
        <v>428</v>
      </c>
      <c r="K1" s="41" t="s">
        <v>422</v>
      </c>
      <c r="L1" s="34" t="s">
        <v>15</v>
      </c>
      <c r="M1" s="35" t="s">
        <v>16</v>
      </c>
      <c r="N1" s="10" t="s">
        <v>17</v>
      </c>
    </row>
    <row r="2" spans="1:14" s="2" customFormat="1" ht="15" customHeight="1" x14ac:dyDescent="0.25">
      <c r="A2" s="36" t="s">
        <v>5</v>
      </c>
      <c r="B2" s="14"/>
      <c r="C2" s="16" t="s">
        <v>11</v>
      </c>
      <c r="D2" s="29">
        <v>259.19083547000002</v>
      </c>
      <c r="E2" s="17">
        <v>109.90495236</v>
      </c>
      <c r="F2" s="17">
        <v>252.15352869999998</v>
      </c>
      <c r="G2" s="17">
        <v>243.04427555000001</v>
      </c>
      <c r="H2" s="17">
        <v>24.426629999999996</v>
      </c>
      <c r="I2" s="87">
        <f t="shared" ref="I2:I12" si="0">IF(ISBLANK(H2),"N/A",IF(ISNA(H2/G2-1),"N/A",IF(ISERROR(H2/G2-1),"N/A",H2/G2-1)))</f>
        <v>-0.89949720089179863</v>
      </c>
      <c r="J2" s="139">
        <f>IF(ISBLANK(H2),"",IF(ISNA(AVERAGE(D2:H2)),"N/A",IF(ISERROR(AVERAGE(D2:H2)),"N/A",AVERAGE(D2:H2))))</f>
        <v>177.74404441600001</v>
      </c>
      <c r="K2" s="87">
        <f>IF(ISBLANK(H2),"",IF(ISNA(H2/AVERAGE(D2:H2)-1),"N/A",IF(ISERROR(H2/AVERAGE(D2:H2)-1),"N/A",H2/AVERAGE(D2:H2)-1)))</f>
        <v>-0.86257412966911662</v>
      </c>
      <c r="L2" s="14" t="s">
        <v>485</v>
      </c>
      <c r="M2" s="169" t="s">
        <v>484</v>
      </c>
      <c r="N2" s="49" t="s">
        <v>511</v>
      </c>
    </row>
    <row r="3" spans="1:14" s="2" customFormat="1" x14ac:dyDescent="0.25">
      <c r="A3" s="36" t="s">
        <v>20</v>
      </c>
      <c r="B3" s="24"/>
      <c r="C3" s="15" t="s">
        <v>22</v>
      </c>
      <c r="D3" s="20">
        <v>69.305999999999997</v>
      </c>
      <c r="E3" s="20">
        <v>24.721</v>
      </c>
      <c r="F3" s="20">
        <v>82.015000000000001</v>
      </c>
      <c r="G3" s="20">
        <v>60.055</v>
      </c>
      <c r="H3" s="20">
        <v>4</v>
      </c>
      <c r="I3" s="87">
        <f t="shared" si="0"/>
        <v>-0.93339438847722922</v>
      </c>
      <c r="J3" s="140">
        <f t="shared" ref="J3:J12" si="1">IF(ISBLANK(H3),"",IF(ISNA(AVERAGE(D3:H3)),"N/A",IF(ISERROR(AVERAGE(D3:H3)),"N/A",AVERAGE(D3:H3))))</f>
        <v>48.019400000000005</v>
      </c>
      <c r="K3" s="87">
        <f t="shared" ref="K3:K12" si="2">IF(ISBLANK(H3),"",IF(ISNA(H3/AVERAGE(D3:H3)-1),"N/A",IF(ISERROR(H3/AVERAGE(D3:H3)-1),"N/A",H3/AVERAGE(D3:H3)-1)))</f>
        <v>-0.9167003336151639</v>
      </c>
      <c r="L3" s="14" t="s">
        <v>471</v>
      </c>
      <c r="M3" s="37" t="s">
        <v>472</v>
      </c>
      <c r="N3" s="23"/>
    </row>
    <row r="4" spans="1:14" s="2" customFormat="1" x14ac:dyDescent="0.25">
      <c r="A4" s="36" t="s">
        <v>21</v>
      </c>
      <c r="B4" s="24"/>
      <c r="C4" s="16" t="s">
        <v>23</v>
      </c>
      <c r="D4" s="31">
        <f t="shared" ref="D4:H4" si="3">D5/D3</f>
        <v>9.9209015092488393</v>
      </c>
      <c r="E4" s="25">
        <f t="shared" si="3"/>
        <v>10.612798834998584</v>
      </c>
      <c r="F4" s="19">
        <f t="shared" si="3"/>
        <v>9.8323599341583847</v>
      </c>
      <c r="G4" s="19">
        <f t="shared" si="3"/>
        <v>10.459328948463908</v>
      </c>
      <c r="H4" s="19">
        <f t="shared" si="3"/>
        <v>13.5</v>
      </c>
      <c r="I4" s="87">
        <f t="shared" si="0"/>
        <v>0.29071377968111967</v>
      </c>
      <c r="J4" s="156">
        <f t="shared" si="1"/>
        <v>10.865077845373943</v>
      </c>
      <c r="K4" s="87">
        <f t="shared" si="2"/>
        <v>0.24251295684438534</v>
      </c>
      <c r="L4" s="14" t="s">
        <v>471</v>
      </c>
      <c r="M4" s="37" t="s">
        <v>472</v>
      </c>
      <c r="N4" s="23"/>
    </row>
    <row r="5" spans="1:14" s="2" customFormat="1" x14ac:dyDescent="0.25">
      <c r="A5" s="36" t="s">
        <v>6</v>
      </c>
      <c r="B5" s="14"/>
      <c r="C5" s="15" t="s">
        <v>12</v>
      </c>
      <c r="D5" s="20">
        <v>687.57799999999997</v>
      </c>
      <c r="E5" s="20">
        <v>262.35899999999998</v>
      </c>
      <c r="F5" s="20">
        <v>806.40099999999995</v>
      </c>
      <c r="G5" s="20">
        <v>628.13499999999999</v>
      </c>
      <c r="H5" s="20">
        <v>54</v>
      </c>
      <c r="I5" s="87">
        <f t="shared" si="0"/>
        <v>-0.91403121940347221</v>
      </c>
      <c r="J5" s="140">
        <f t="shared" si="1"/>
        <v>487.69459999999998</v>
      </c>
      <c r="K5" s="87">
        <f t="shared" si="2"/>
        <v>-0.8892749683921044</v>
      </c>
      <c r="L5" s="14" t="s">
        <v>471</v>
      </c>
      <c r="M5" s="37" t="s">
        <v>472</v>
      </c>
      <c r="N5" s="23"/>
    </row>
    <row r="6" spans="1:14" s="2" customFormat="1" x14ac:dyDescent="0.25">
      <c r="A6" s="36" t="s">
        <v>7</v>
      </c>
      <c r="B6" s="14"/>
      <c r="C6" s="16" t="s">
        <v>13</v>
      </c>
      <c r="D6" s="21">
        <v>419.298</v>
      </c>
      <c r="E6" s="21">
        <v>312.69</v>
      </c>
      <c r="F6" s="21">
        <v>386.93</v>
      </c>
      <c r="G6" s="21">
        <v>452.34500000000003</v>
      </c>
      <c r="H6" s="21">
        <v>488.37200000000001</v>
      </c>
      <c r="I6" s="88">
        <f t="shared" si="0"/>
        <v>7.9644961257447244E-2</v>
      </c>
      <c r="J6" s="141">
        <f t="shared" si="1"/>
        <v>411.92700000000002</v>
      </c>
      <c r="K6" s="88">
        <f t="shared" si="2"/>
        <v>0.18557899822055846</v>
      </c>
      <c r="L6" s="43" t="s">
        <v>473</v>
      </c>
      <c r="M6" s="44" t="s">
        <v>474</v>
      </c>
      <c r="N6" s="23"/>
    </row>
    <row r="7" spans="1:14" s="2" customFormat="1" x14ac:dyDescent="0.25">
      <c r="A7" s="324" t="s">
        <v>587</v>
      </c>
      <c r="B7" s="24" t="s">
        <v>8</v>
      </c>
      <c r="C7" s="16" t="s">
        <v>11</v>
      </c>
      <c r="D7" s="170">
        <v>42.900004000000003</v>
      </c>
      <c r="E7" s="165">
        <v>23.080696</v>
      </c>
      <c r="F7" s="165">
        <v>35.553553000000001</v>
      </c>
      <c r="G7" s="165">
        <v>43.562081999999997</v>
      </c>
      <c r="H7" s="165">
        <v>14.767956999999999</v>
      </c>
      <c r="I7" s="87">
        <f t="shared" si="0"/>
        <v>-0.66099056055217931</v>
      </c>
      <c r="J7" s="217">
        <f t="shared" si="1"/>
        <v>31.9728584</v>
      </c>
      <c r="K7" s="87">
        <f t="shared" si="2"/>
        <v>-0.53810957984288321</v>
      </c>
      <c r="L7" s="14" t="s">
        <v>469</v>
      </c>
      <c r="M7" s="16" t="s">
        <v>470</v>
      </c>
      <c r="N7" s="49"/>
    </row>
    <row r="8" spans="1:14" s="2" customFormat="1" x14ac:dyDescent="0.25">
      <c r="A8" s="324"/>
      <c r="B8" s="26" t="s">
        <v>433</v>
      </c>
      <c r="C8" s="16" t="s">
        <v>11</v>
      </c>
      <c r="D8" s="170">
        <v>42.896842999999997</v>
      </c>
      <c r="E8" s="165">
        <v>23.080696</v>
      </c>
      <c r="F8" s="165">
        <v>35.544966000000002</v>
      </c>
      <c r="G8" s="165">
        <v>43.538865000000001</v>
      </c>
      <c r="H8" s="165">
        <v>14.142956999999999</v>
      </c>
      <c r="I8" s="87">
        <f t="shared" si="0"/>
        <v>-0.67516477519567863</v>
      </c>
      <c r="J8" s="217">
        <f t="shared" si="1"/>
        <v>31.840865400000002</v>
      </c>
      <c r="K8" s="87">
        <f t="shared" si="2"/>
        <v>-0.55582372456497375</v>
      </c>
      <c r="L8" s="14" t="s">
        <v>469</v>
      </c>
      <c r="M8" s="16" t="s">
        <v>470</v>
      </c>
      <c r="N8" s="49"/>
    </row>
    <row r="9" spans="1:14" s="2" customFormat="1" x14ac:dyDescent="0.25">
      <c r="A9" s="324"/>
      <c r="B9" s="26" t="s">
        <v>434</v>
      </c>
      <c r="C9" s="16" t="s">
        <v>11</v>
      </c>
      <c r="D9" s="170">
        <v>3.1610000000000002E-3</v>
      </c>
      <c r="E9" s="165">
        <v>0</v>
      </c>
      <c r="F9" s="165">
        <v>8.5869999999999991E-3</v>
      </c>
      <c r="G9" s="165">
        <v>2.3217000000000002E-2</v>
      </c>
      <c r="H9" s="165">
        <v>0.625</v>
      </c>
      <c r="I9" s="87">
        <f t="shared" si="0"/>
        <v>25.919929362105353</v>
      </c>
      <c r="J9" s="217">
        <f t="shared" si="1"/>
        <v>0.131993</v>
      </c>
      <c r="K9" s="87">
        <f t="shared" si="2"/>
        <v>3.7350995886145482</v>
      </c>
      <c r="L9" s="14" t="s">
        <v>469</v>
      </c>
      <c r="M9" s="16" t="s">
        <v>470</v>
      </c>
      <c r="N9" s="49"/>
    </row>
    <row r="10" spans="1:14" s="2" customFormat="1" x14ac:dyDescent="0.25">
      <c r="A10" s="324"/>
      <c r="B10" s="26" t="s">
        <v>435</v>
      </c>
      <c r="C10" s="16" t="s">
        <v>11</v>
      </c>
      <c r="D10" s="170">
        <v>0</v>
      </c>
      <c r="E10" s="165">
        <v>0</v>
      </c>
      <c r="F10" s="165">
        <v>0</v>
      </c>
      <c r="G10" s="165">
        <v>0</v>
      </c>
      <c r="H10" s="165">
        <v>0</v>
      </c>
      <c r="I10" s="87" t="str">
        <f t="shared" si="0"/>
        <v>N/A</v>
      </c>
      <c r="J10" s="217">
        <f t="shared" si="1"/>
        <v>0</v>
      </c>
      <c r="K10" s="87" t="str">
        <f t="shared" si="2"/>
        <v>N/A</v>
      </c>
      <c r="L10" s="14" t="s">
        <v>469</v>
      </c>
      <c r="M10" s="16" t="s">
        <v>470</v>
      </c>
      <c r="N10" s="49"/>
    </row>
    <row r="11" spans="1:14" s="2" customFormat="1" x14ac:dyDescent="0.25">
      <c r="A11" s="36" t="s">
        <v>10</v>
      </c>
      <c r="B11" s="24" t="s">
        <v>8</v>
      </c>
      <c r="C11" s="16" t="s">
        <v>11</v>
      </c>
      <c r="D11" s="170">
        <v>80.827573999999998</v>
      </c>
      <c r="E11" s="165">
        <v>83.421552000000005</v>
      </c>
      <c r="F11" s="165">
        <v>76.235851999999994</v>
      </c>
      <c r="G11" s="165">
        <v>79.390461000000002</v>
      </c>
      <c r="H11" s="165">
        <v>96.016588999999996</v>
      </c>
      <c r="I11" s="87">
        <f t="shared" si="0"/>
        <v>0.20942223776733071</v>
      </c>
      <c r="J11" s="156">
        <f t="shared" si="1"/>
        <v>83.178405599999991</v>
      </c>
      <c r="K11" s="87">
        <f t="shared" si="2"/>
        <v>0.15434514892889473</v>
      </c>
      <c r="L11" s="14" t="s">
        <v>469</v>
      </c>
      <c r="M11" s="16" t="s">
        <v>470</v>
      </c>
      <c r="N11" s="49"/>
    </row>
    <row r="12" spans="1:14" s="2" customFormat="1" ht="15.75" x14ac:dyDescent="0.25">
      <c r="A12" s="226" t="s">
        <v>533</v>
      </c>
      <c r="B12" s="122" t="s">
        <v>8</v>
      </c>
      <c r="C12" s="55" t="s">
        <v>11</v>
      </c>
      <c r="D12" s="221">
        <f t="shared" ref="D12:H12" si="4">D7-D11</f>
        <v>-37.927569999999996</v>
      </c>
      <c r="E12" s="222">
        <f t="shared" si="4"/>
        <v>-60.340856000000002</v>
      </c>
      <c r="F12" s="222">
        <f t="shared" si="4"/>
        <v>-40.682298999999993</v>
      </c>
      <c r="G12" s="222">
        <f t="shared" si="4"/>
        <v>-35.828379000000005</v>
      </c>
      <c r="H12" s="222">
        <f t="shared" si="4"/>
        <v>-81.248632000000001</v>
      </c>
      <c r="I12" s="89">
        <f t="shared" si="0"/>
        <v>1.2677172193584307</v>
      </c>
      <c r="J12" s="220">
        <f t="shared" si="1"/>
        <v>-51.205547199999998</v>
      </c>
      <c r="K12" s="89">
        <f t="shared" si="2"/>
        <v>0.58671543304980056</v>
      </c>
      <c r="L12" s="58" t="s">
        <v>469</v>
      </c>
      <c r="M12" s="55" t="s">
        <v>470</v>
      </c>
      <c r="N12" s="49"/>
    </row>
    <row r="13" spans="1:14" x14ac:dyDescent="0.25">
      <c r="A13" s="53" t="s">
        <v>80</v>
      </c>
      <c r="F13" s="12"/>
      <c r="G13" s="12"/>
      <c r="H13" s="12"/>
      <c r="I13" s="12"/>
      <c r="J13" s="12"/>
      <c r="K13" s="12"/>
    </row>
    <row r="14" spans="1:14" ht="17.25" x14ac:dyDescent="0.25">
      <c r="A14" s="81" t="s">
        <v>519</v>
      </c>
      <c r="F14" s="12"/>
      <c r="G14" s="12"/>
      <c r="H14" s="12"/>
      <c r="I14" s="12"/>
      <c r="J14" s="12"/>
      <c r="K14" s="12"/>
    </row>
    <row r="15" spans="1:14" ht="17.25" x14ac:dyDescent="0.25">
      <c r="A15" s="81" t="s">
        <v>532</v>
      </c>
    </row>
    <row r="16" spans="1:14" ht="17.25" x14ac:dyDescent="0.25">
      <c r="A16" s="49" t="s">
        <v>521</v>
      </c>
    </row>
    <row r="17" spans="1:1" ht="17.25" x14ac:dyDescent="0.25">
      <c r="A17" s="12" t="s">
        <v>525</v>
      </c>
    </row>
  </sheetData>
  <mergeCells count="1">
    <mergeCell ref="A7:A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O16"/>
  <sheetViews>
    <sheetView workbookViewId="0"/>
  </sheetViews>
  <sheetFormatPr defaultRowHeight="15" x14ac:dyDescent="0.25"/>
  <cols>
    <col min="1" max="1" width="19" style="12" bestFit="1" customWidth="1"/>
    <col min="2" max="2" width="11.28515625" style="12" bestFit="1" customWidth="1"/>
    <col min="3" max="5" width="10.5703125" style="12" bestFit="1" customWidth="1"/>
    <col min="6" max="6" width="10.5703125" style="11" bestFit="1" customWidth="1"/>
    <col min="7" max="7" width="10.7109375" style="11" bestFit="1" customWidth="1"/>
    <col min="8" max="8" width="10.7109375" style="11" customWidth="1"/>
    <col min="9" max="10" width="16.140625" style="11" customWidth="1"/>
    <col min="11" max="11" width="16.85546875" style="13" bestFit="1" customWidth="1"/>
    <col min="12" max="12" width="25.5703125" style="12" bestFit="1" customWidth="1"/>
    <col min="13" max="13" width="124.5703125" style="12" bestFit="1" customWidth="1"/>
    <col min="14" max="14" width="34.7109375" style="12" customWidth="1"/>
    <col min="15" max="15" width="9.140625" style="12"/>
  </cols>
  <sheetData>
    <row r="1" spans="1:15" s="1" customFormat="1" ht="30" x14ac:dyDescent="0.25">
      <c r="A1" s="33" t="s">
        <v>0</v>
      </c>
      <c r="B1" s="34" t="s">
        <v>9</v>
      </c>
      <c r="C1" s="35" t="s">
        <v>1</v>
      </c>
      <c r="D1" s="34" t="str">
        <f>+'Output Table'!C1</f>
        <v>2014-15</v>
      </c>
      <c r="E1" s="34" t="str">
        <f>+'Output Table'!D1</f>
        <v>2015-16</v>
      </c>
      <c r="F1" s="34" t="str">
        <f>+'Output Table'!E1</f>
        <v>2016-17</v>
      </c>
      <c r="G1" s="34" t="str">
        <f>+'Output Table'!F1</f>
        <v>2017-18</v>
      </c>
      <c r="H1" s="34" t="str">
        <f>+'Output Table'!G1</f>
        <v>2018-19e</v>
      </c>
      <c r="I1" s="39" t="s">
        <v>136</v>
      </c>
      <c r="J1" s="41" t="s">
        <v>428</v>
      </c>
      <c r="K1" s="41" t="s">
        <v>422</v>
      </c>
      <c r="L1" s="34" t="s">
        <v>15</v>
      </c>
      <c r="M1" s="35" t="s">
        <v>16</v>
      </c>
      <c r="N1" s="10" t="s">
        <v>17</v>
      </c>
      <c r="O1" s="11"/>
    </row>
    <row r="2" spans="1:15" s="2" customFormat="1" ht="16.5" customHeight="1" x14ac:dyDescent="0.25">
      <c r="A2" s="36" t="s">
        <v>5</v>
      </c>
      <c r="B2" s="14"/>
      <c r="C2" s="16" t="s">
        <v>11</v>
      </c>
      <c r="D2" s="29">
        <v>172.01185952</v>
      </c>
      <c r="E2" s="17">
        <v>177.29157953000001</v>
      </c>
      <c r="F2" s="60">
        <v>96.625019930000008</v>
      </c>
      <c r="G2" s="60">
        <v>87.717516099999997</v>
      </c>
      <c r="H2" s="60">
        <v>98.125341383680038</v>
      </c>
      <c r="I2" s="88">
        <f t="shared" ref="I2:I12" si="0">IF(ISBLANK(H2),"N/A",IF(ISNA(H2/G2-1),"N/A",IF(ISERROR(H2/G2-1),"N/A",H2/G2-1)))</f>
        <v>0.11865161881482011</v>
      </c>
      <c r="J2" s="139">
        <f>IF(ISBLANK(H2),"",IF(ISNA(AVERAGE(D2:H2)),"N/A",IF(ISERROR(AVERAGE(D2:H2)),"N/A",AVERAGE(D2:H2))))</f>
        <v>126.35426329273601</v>
      </c>
      <c r="K2" s="88">
        <f t="shared" ref="K2:K12" si="1">IF(ISBLANK(H2),"",IF(ISNA(H2/AVERAGE(D2:H2)-1),"N/A",IF(ISERROR(H2/AVERAGE(D2:H2)-1),"N/A",H2/AVERAGE(D2:H2)-1)))</f>
        <v>-0.22341091763287435</v>
      </c>
      <c r="L2" s="14" t="s">
        <v>485</v>
      </c>
      <c r="M2" s="169" t="s">
        <v>484</v>
      </c>
      <c r="N2" s="49" t="s">
        <v>511</v>
      </c>
      <c r="O2" s="49"/>
    </row>
    <row r="3" spans="1:15" s="2" customFormat="1" x14ac:dyDescent="0.25">
      <c r="A3" s="36" t="s">
        <v>20</v>
      </c>
      <c r="B3" s="24"/>
      <c r="C3" s="15" t="s">
        <v>22</v>
      </c>
      <c r="D3" s="20">
        <v>184.11799999999999</v>
      </c>
      <c r="E3" s="20">
        <v>154.75899999999999</v>
      </c>
      <c r="F3" s="20">
        <v>117.124</v>
      </c>
      <c r="G3" s="20">
        <v>108.34</v>
      </c>
      <c r="H3" s="20">
        <v>110</v>
      </c>
      <c r="I3" s="87">
        <f t="shared" si="0"/>
        <v>1.5322134022521583E-2</v>
      </c>
      <c r="J3" s="140">
        <f t="shared" ref="J3:J12" si="2">IF(ISBLANK(H3),"",IF(ISNA(AVERAGE(D3:H3)),"N/A",IF(ISERROR(AVERAGE(D3:H3)),"N/A",AVERAGE(D3:H3))))</f>
        <v>134.8682</v>
      </c>
      <c r="K3" s="87">
        <f t="shared" si="1"/>
        <v>-0.18438890709596478</v>
      </c>
      <c r="L3" s="14" t="s">
        <v>471</v>
      </c>
      <c r="M3" s="37" t="s">
        <v>472</v>
      </c>
      <c r="N3" s="23"/>
      <c r="O3" s="49"/>
    </row>
    <row r="4" spans="1:15" s="2" customFormat="1" x14ac:dyDescent="0.25">
      <c r="A4" s="36" t="s">
        <v>21</v>
      </c>
      <c r="B4" s="24"/>
      <c r="C4" s="16" t="s">
        <v>23</v>
      </c>
      <c r="D4" s="31">
        <f t="shared" ref="D4:H4" si="3">D5/D3</f>
        <v>3.184305716985846</v>
      </c>
      <c r="E4" s="25">
        <f t="shared" si="3"/>
        <v>3.9052268365652405</v>
      </c>
      <c r="F4" s="19">
        <f t="shared" si="3"/>
        <v>3.3009886957412657</v>
      </c>
      <c r="G4" s="19">
        <f t="shared" si="3"/>
        <v>2.5754384345578734</v>
      </c>
      <c r="H4" s="19">
        <f t="shared" si="3"/>
        <v>2.5</v>
      </c>
      <c r="I4" s="87">
        <f t="shared" si="0"/>
        <v>-2.9291492099217664E-2</v>
      </c>
      <c r="J4" s="156">
        <f t="shared" si="2"/>
        <v>3.0931919367700451</v>
      </c>
      <c r="K4" s="87">
        <f t="shared" si="1"/>
        <v>-0.19177340071223148</v>
      </c>
      <c r="L4" s="14" t="s">
        <v>471</v>
      </c>
      <c r="M4" s="37" t="s">
        <v>472</v>
      </c>
      <c r="N4" s="23"/>
      <c r="O4" s="49"/>
    </row>
    <row r="5" spans="1:15" s="2" customFormat="1" x14ac:dyDescent="0.25">
      <c r="A5" s="36" t="s">
        <v>6</v>
      </c>
      <c r="B5" s="14"/>
      <c r="C5" s="15" t="s">
        <v>12</v>
      </c>
      <c r="D5" s="20">
        <v>586.28800000000001</v>
      </c>
      <c r="E5" s="20">
        <v>604.36900000000003</v>
      </c>
      <c r="F5" s="20">
        <v>386.625</v>
      </c>
      <c r="G5" s="20">
        <v>279.02300000000002</v>
      </c>
      <c r="H5" s="20">
        <v>275</v>
      </c>
      <c r="I5" s="87">
        <f t="shared" si="0"/>
        <v>-1.4418166244359876E-2</v>
      </c>
      <c r="J5" s="140">
        <f t="shared" si="2"/>
        <v>426.26100000000008</v>
      </c>
      <c r="K5" s="87">
        <f t="shared" si="1"/>
        <v>-0.35485535857139183</v>
      </c>
      <c r="L5" s="14" t="s">
        <v>471</v>
      </c>
      <c r="M5" s="37" t="s">
        <v>472</v>
      </c>
      <c r="N5" s="23"/>
      <c r="O5" s="49"/>
    </row>
    <row r="6" spans="1:15" s="2" customFormat="1" x14ac:dyDescent="0.25">
      <c r="A6" s="36" t="s">
        <v>7</v>
      </c>
      <c r="B6" s="14"/>
      <c r="C6" s="16" t="s">
        <v>13</v>
      </c>
      <c r="D6" s="21">
        <v>301.23</v>
      </c>
      <c r="E6" s="21">
        <v>274.53399999999999</v>
      </c>
      <c r="F6" s="21">
        <v>238.16200000000001</v>
      </c>
      <c r="G6" s="21">
        <v>311.79599999999999</v>
      </c>
      <c r="H6" s="21">
        <v>353.89359685221535</v>
      </c>
      <c r="I6" s="88">
        <f t="shared" si="0"/>
        <v>0.13501647504206393</v>
      </c>
      <c r="J6" s="141">
        <f t="shared" si="2"/>
        <v>295.92311937044303</v>
      </c>
      <c r="K6" s="88">
        <f t="shared" si="1"/>
        <v>0.19589708842317122</v>
      </c>
      <c r="L6" s="43" t="s">
        <v>473</v>
      </c>
      <c r="M6" s="44" t="s">
        <v>474</v>
      </c>
      <c r="N6" s="23"/>
      <c r="O6" s="49"/>
    </row>
    <row r="7" spans="1:15" s="2" customFormat="1" x14ac:dyDescent="0.25">
      <c r="A7" s="324" t="s">
        <v>14</v>
      </c>
      <c r="B7" s="24" t="s">
        <v>8</v>
      </c>
      <c r="C7" s="16" t="s">
        <v>11</v>
      </c>
      <c r="D7" s="31">
        <v>31.991294</v>
      </c>
      <c r="E7" s="25">
        <v>64.994325000000003</v>
      </c>
      <c r="F7" s="19">
        <v>49.017704000000002</v>
      </c>
      <c r="G7" s="19">
        <v>55.497073</v>
      </c>
      <c r="H7" s="19">
        <v>5.5922729999999996</v>
      </c>
      <c r="I7" s="87">
        <f t="shared" si="0"/>
        <v>-0.89923301000036526</v>
      </c>
      <c r="J7" s="217">
        <f t="shared" si="2"/>
        <v>41.418533799999999</v>
      </c>
      <c r="K7" s="87">
        <f t="shared" si="1"/>
        <v>-0.86498138666608226</v>
      </c>
      <c r="L7" s="14" t="s">
        <v>469</v>
      </c>
      <c r="M7" s="16" t="s">
        <v>470</v>
      </c>
      <c r="N7" s="49"/>
      <c r="O7" s="49"/>
    </row>
    <row r="8" spans="1:15" s="2" customFormat="1" x14ac:dyDescent="0.25">
      <c r="A8" s="324"/>
      <c r="B8" s="26" t="s">
        <v>431</v>
      </c>
      <c r="C8" s="16" t="s">
        <v>11</v>
      </c>
      <c r="D8" s="31">
        <v>30.929219</v>
      </c>
      <c r="E8" s="25">
        <v>64.077583000000004</v>
      </c>
      <c r="F8" s="19">
        <v>48.305334999999999</v>
      </c>
      <c r="G8" s="19">
        <v>52.178266000000001</v>
      </c>
      <c r="H8" s="19">
        <v>5.1218830000000004</v>
      </c>
      <c r="I8" s="87">
        <f t="shared" si="0"/>
        <v>-0.90183876558872234</v>
      </c>
      <c r="J8" s="217">
        <f t="shared" si="2"/>
        <v>40.122457199999999</v>
      </c>
      <c r="K8" s="87">
        <f t="shared" si="1"/>
        <v>-0.87234373571716339</v>
      </c>
      <c r="L8" s="14" t="s">
        <v>469</v>
      </c>
      <c r="M8" s="16" t="s">
        <v>470</v>
      </c>
      <c r="N8" s="49"/>
      <c r="O8" s="49"/>
    </row>
    <row r="9" spans="1:15" s="2" customFormat="1" x14ac:dyDescent="0.25">
      <c r="A9" s="324"/>
      <c r="B9" s="26" t="s">
        <v>436</v>
      </c>
      <c r="C9" s="16" t="s">
        <v>11</v>
      </c>
      <c r="D9" s="31">
        <v>0.71318899999999996</v>
      </c>
      <c r="E9" s="25">
        <v>0.60552300000000003</v>
      </c>
      <c r="F9" s="19">
        <v>0.127946</v>
      </c>
      <c r="G9" s="19">
        <v>0.53920500000000005</v>
      </c>
      <c r="H9" s="19">
        <v>0.16303599999999999</v>
      </c>
      <c r="I9" s="87">
        <f t="shared" si="0"/>
        <v>-0.69763633497463862</v>
      </c>
      <c r="J9" s="217">
        <f t="shared" si="2"/>
        <v>0.42977980000000005</v>
      </c>
      <c r="K9" s="87">
        <f t="shared" si="1"/>
        <v>-0.62065225029189375</v>
      </c>
      <c r="L9" s="14" t="s">
        <v>469</v>
      </c>
      <c r="M9" s="16" t="s">
        <v>470</v>
      </c>
      <c r="N9" s="49"/>
      <c r="O9" s="49"/>
    </row>
    <row r="10" spans="1:15" s="2" customFormat="1" x14ac:dyDescent="0.25">
      <c r="A10" s="324"/>
      <c r="B10" s="26" t="s">
        <v>435</v>
      </c>
      <c r="C10" s="16" t="s">
        <v>11</v>
      </c>
      <c r="D10" s="31">
        <v>0</v>
      </c>
      <c r="E10" s="25">
        <v>0</v>
      </c>
      <c r="F10" s="19">
        <v>0</v>
      </c>
      <c r="G10" s="19">
        <v>0</v>
      </c>
      <c r="H10" s="19">
        <v>0.16</v>
      </c>
      <c r="I10" s="87" t="str">
        <f t="shared" si="0"/>
        <v>N/A</v>
      </c>
      <c r="J10" s="217">
        <f t="shared" si="2"/>
        <v>3.2000000000000001E-2</v>
      </c>
      <c r="K10" s="87">
        <f t="shared" si="1"/>
        <v>4</v>
      </c>
      <c r="L10" s="14" t="s">
        <v>469</v>
      </c>
      <c r="M10" s="16" t="s">
        <v>470</v>
      </c>
      <c r="N10" s="49"/>
      <c r="O10" s="49"/>
    </row>
    <row r="11" spans="1:15" s="2" customFormat="1" x14ac:dyDescent="0.25">
      <c r="A11" s="36" t="s">
        <v>10</v>
      </c>
      <c r="B11" s="24" t="s">
        <v>8</v>
      </c>
      <c r="C11" s="16" t="s">
        <v>11</v>
      </c>
      <c r="D11" s="51">
        <v>1.325E-3</v>
      </c>
      <c r="E11" s="19">
        <v>9.8519999999999996E-3</v>
      </c>
      <c r="F11" s="19">
        <v>2.2759999999999998E-3</v>
      </c>
      <c r="G11" s="19">
        <v>0</v>
      </c>
      <c r="H11" s="19">
        <v>0</v>
      </c>
      <c r="I11" s="87" t="str">
        <f t="shared" si="0"/>
        <v>N/A</v>
      </c>
      <c r="J11" s="156">
        <f t="shared" si="2"/>
        <v>2.6906E-3</v>
      </c>
      <c r="K11" s="87">
        <f t="shared" si="1"/>
        <v>-1</v>
      </c>
      <c r="L11" s="14" t="s">
        <v>469</v>
      </c>
      <c r="M11" s="16" t="s">
        <v>470</v>
      </c>
      <c r="N11" s="49"/>
      <c r="O11" s="49"/>
    </row>
    <row r="12" spans="1:15" s="2" customFormat="1" ht="15.75" x14ac:dyDescent="0.25">
      <c r="A12" s="226" t="s">
        <v>533</v>
      </c>
      <c r="B12" s="122" t="s">
        <v>8</v>
      </c>
      <c r="C12" s="55" t="s">
        <v>11</v>
      </c>
      <c r="D12" s="218">
        <f t="shared" ref="D12:H12" si="4">D7-D11</f>
        <v>31.989968999999999</v>
      </c>
      <c r="E12" s="219">
        <f t="shared" si="4"/>
        <v>64.984473000000008</v>
      </c>
      <c r="F12" s="219">
        <f t="shared" si="4"/>
        <v>49.015428</v>
      </c>
      <c r="G12" s="219">
        <f t="shared" si="4"/>
        <v>55.497073</v>
      </c>
      <c r="H12" s="219">
        <f t="shared" si="4"/>
        <v>5.5922729999999996</v>
      </c>
      <c r="I12" s="89">
        <f t="shared" si="0"/>
        <v>-0.89923301000036526</v>
      </c>
      <c r="J12" s="220">
        <f t="shared" si="2"/>
        <v>41.415843199999998</v>
      </c>
      <c r="K12" s="89">
        <f t="shared" si="1"/>
        <v>-0.86497261511749202</v>
      </c>
      <c r="L12" s="58" t="s">
        <v>469</v>
      </c>
      <c r="M12" s="55" t="s">
        <v>470</v>
      </c>
      <c r="N12" s="49"/>
      <c r="O12" s="49"/>
    </row>
    <row r="13" spans="1:15" x14ac:dyDescent="0.25">
      <c r="A13" s="53" t="s">
        <v>80</v>
      </c>
      <c r="F13" s="12"/>
      <c r="G13" s="12"/>
      <c r="H13" s="12"/>
      <c r="I13" s="12"/>
      <c r="J13" s="12"/>
      <c r="K13" s="12"/>
    </row>
    <row r="14" spans="1:15" ht="17.25" x14ac:dyDescent="0.25">
      <c r="A14" s="81" t="s">
        <v>519</v>
      </c>
      <c r="F14" s="12"/>
      <c r="G14" s="12"/>
      <c r="H14" s="12"/>
      <c r="I14" s="12"/>
      <c r="J14" s="12"/>
      <c r="K14" s="12"/>
    </row>
    <row r="15" spans="1:15" ht="17.25" x14ac:dyDescent="0.25">
      <c r="A15" s="81" t="s">
        <v>532</v>
      </c>
    </row>
    <row r="16" spans="1:15" ht="17.25" x14ac:dyDescent="0.25">
      <c r="A16" s="49" t="s">
        <v>521</v>
      </c>
    </row>
  </sheetData>
  <mergeCells count="1">
    <mergeCell ref="A7:A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N17"/>
  <sheetViews>
    <sheetView workbookViewId="0"/>
  </sheetViews>
  <sheetFormatPr defaultRowHeight="15" x14ac:dyDescent="0.25"/>
  <cols>
    <col min="1" max="1" width="19" style="12" bestFit="1" customWidth="1"/>
    <col min="2" max="2" width="11.28515625" style="12" bestFit="1" customWidth="1"/>
    <col min="3" max="3" width="21.140625" style="12" bestFit="1" customWidth="1"/>
    <col min="4" max="5" width="10.5703125" style="12" bestFit="1" customWidth="1"/>
    <col min="6" max="6" width="10.5703125" style="11" bestFit="1" customWidth="1"/>
    <col min="7" max="7" width="10.7109375" style="11" bestFit="1" customWidth="1"/>
    <col min="8" max="8" width="10.7109375" style="11" customWidth="1"/>
    <col min="9" max="10" width="14.5703125" style="11" customWidth="1"/>
    <col min="11" max="11" width="16.85546875" style="13" bestFit="1" customWidth="1"/>
    <col min="12" max="12" width="25.5703125" style="12" bestFit="1" customWidth="1"/>
    <col min="13" max="13" width="255.7109375" style="12" bestFit="1" customWidth="1"/>
    <col min="14" max="14" width="34.7109375" style="12" customWidth="1"/>
  </cols>
  <sheetData>
    <row r="1" spans="1:14" s="1" customFormat="1" ht="30" x14ac:dyDescent="0.25">
      <c r="A1" s="33" t="s">
        <v>0</v>
      </c>
      <c r="B1" s="34" t="s">
        <v>9</v>
      </c>
      <c r="C1" s="232" t="s">
        <v>1</v>
      </c>
      <c r="D1" s="34" t="str">
        <f>+'Output Table'!C1</f>
        <v>2014-15</v>
      </c>
      <c r="E1" s="34" t="str">
        <f>+'Output Table'!D1</f>
        <v>2015-16</v>
      </c>
      <c r="F1" s="34" t="str">
        <f>+'Output Table'!E1</f>
        <v>2016-17</v>
      </c>
      <c r="G1" s="34" t="str">
        <f>+'Output Table'!F1</f>
        <v>2017-18</v>
      </c>
      <c r="H1" s="34" t="str">
        <f>+'Output Table'!G1</f>
        <v>2018-19e</v>
      </c>
      <c r="I1" s="41" t="s">
        <v>136</v>
      </c>
      <c r="J1" s="41" t="s">
        <v>428</v>
      </c>
      <c r="K1" s="41" t="s">
        <v>422</v>
      </c>
      <c r="L1" s="34" t="s">
        <v>15</v>
      </c>
      <c r="M1" s="35" t="s">
        <v>16</v>
      </c>
      <c r="N1" s="10" t="s">
        <v>17</v>
      </c>
    </row>
    <row r="2" spans="1:14" s="2" customFormat="1" ht="15" customHeight="1" x14ac:dyDescent="0.25">
      <c r="A2" s="36" t="s">
        <v>5</v>
      </c>
      <c r="B2" s="14"/>
      <c r="C2" s="105" t="s">
        <v>11</v>
      </c>
      <c r="D2" s="29">
        <v>177.64806615999998</v>
      </c>
      <c r="E2" s="60">
        <v>531.87517412</v>
      </c>
      <c r="F2" s="60">
        <v>817.70248604000005</v>
      </c>
      <c r="G2" s="60">
        <v>258.43276026000001</v>
      </c>
      <c r="H2" s="60">
        <v>75.249877173979598</v>
      </c>
      <c r="I2" s="22">
        <f t="shared" ref="I2:I13" si="0">IF(ISBLANK(H2),"N/A",IF(ISNA(H2/G2-1),"N/A",IF(ISERROR(H2/G2-1),"N/A",H2/G2-1)))</f>
        <v>-0.70882222092015978</v>
      </c>
      <c r="J2" s="151">
        <f>IF(ISBLANK(H2),"",IF(ISNA(AVERAGE(D2:H2)),"N/A",IF(ISERROR(AVERAGE(D2:H2)),"N/A",AVERAGE(D2:H2))))</f>
        <v>372.18167275079594</v>
      </c>
      <c r="K2" s="22">
        <f>IF(ISBLANK(H2),"",IF(ISNA(H2/AVERAGE(D2:H2)-1),"N/A",IF(ISERROR(H2/AVERAGE(D2:H2)-1),"N/A",H2/AVERAGE(D2:H2)-1)))</f>
        <v>-0.79781412497341009</v>
      </c>
      <c r="L2" s="14" t="s">
        <v>485</v>
      </c>
      <c r="M2" s="169" t="s">
        <v>484</v>
      </c>
      <c r="N2" s="49" t="s">
        <v>511</v>
      </c>
    </row>
    <row r="3" spans="1:14" s="2" customFormat="1" x14ac:dyDescent="0.25">
      <c r="A3" s="36" t="s">
        <v>20</v>
      </c>
      <c r="B3" s="24"/>
      <c r="C3" s="106" t="s">
        <v>22</v>
      </c>
      <c r="D3" s="20">
        <v>349.5</v>
      </c>
      <c r="E3" s="20">
        <v>604.577</v>
      </c>
      <c r="F3" s="20">
        <v>616</v>
      </c>
      <c r="G3" s="20">
        <v>682.40000000000009</v>
      </c>
      <c r="H3" s="20">
        <v>154.30000000000001</v>
      </c>
      <c r="I3" s="18">
        <f t="shared" si="0"/>
        <v>-0.77388628370457213</v>
      </c>
      <c r="J3" s="152">
        <f t="shared" ref="J3:J13" si="1">IF(ISBLANK(H3),"",IF(ISNA(AVERAGE(D3:H3)),"N/A",IF(ISERROR(AVERAGE(D3:H3)),"N/A",AVERAGE(D3:H3))))</f>
        <v>481.35540000000003</v>
      </c>
      <c r="K3" s="18">
        <f t="shared" ref="K3:K13" si="2">IF(ISBLANK(H3),"",IF(ISNA(H3/AVERAGE(D3:H3)-1),"N/A",IF(ISERROR(H3/AVERAGE(D3:H3)-1),"N/A",H3/AVERAGE(D3:H3)-1)))</f>
        <v>-0.67944682868416972</v>
      </c>
      <c r="L3" s="14" t="s">
        <v>471</v>
      </c>
      <c r="M3" s="37" t="s">
        <v>472</v>
      </c>
      <c r="N3" s="23"/>
    </row>
    <row r="4" spans="1:14" s="2" customFormat="1" x14ac:dyDescent="0.25">
      <c r="A4" s="36" t="s">
        <v>21</v>
      </c>
      <c r="B4" s="24"/>
      <c r="C4" s="105" t="s">
        <v>30</v>
      </c>
      <c r="D4" s="31">
        <v>1.3483038700430003</v>
      </c>
      <c r="E4" s="19">
        <v>1.2298150381986328</v>
      </c>
      <c r="F4" s="19">
        <v>1.65</v>
      </c>
      <c r="G4" s="19">
        <v>0.9044444444444445</v>
      </c>
      <c r="H4" s="19">
        <v>0.7</v>
      </c>
      <c r="I4" s="18">
        <f t="shared" si="0"/>
        <v>-0.22604422604422614</v>
      </c>
      <c r="J4" s="234">
        <f t="shared" si="1"/>
        <v>1.1665126705372155</v>
      </c>
      <c r="K4" s="18">
        <f t="shared" si="2"/>
        <v>-0.39992079153531346</v>
      </c>
      <c r="L4" s="14" t="s">
        <v>471</v>
      </c>
      <c r="M4" s="37" t="s">
        <v>472</v>
      </c>
      <c r="N4" s="23"/>
    </row>
    <row r="5" spans="1:14" s="2" customFormat="1" x14ac:dyDescent="0.25">
      <c r="A5" s="36" t="s">
        <v>6</v>
      </c>
      <c r="B5" s="14"/>
      <c r="C5" s="106" t="s">
        <v>12</v>
      </c>
      <c r="D5" s="20">
        <v>348.9</v>
      </c>
      <c r="E5" s="20">
        <v>564.74799999999993</v>
      </c>
      <c r="F5" s="20">
        <v>887</v>
      </c>
      <c r="G5" s="20">
        <v>454.65999999999997</v>
      </c>
      <c r="H5" s="20">
        <v>69.575000000000003</v>
      </c>
      <c r="I5" s="18">
        <f t="shared" si="0"/>
        <v>-0.84697356266220913</v>
      </c>
      <c r="J5" s="152">
        <f t="shared" si="1"/>
        <v>464.97659999999996</v>
      </c>
      <c r="K5" s="18">
        <f t="shared" si="2"/>
        <v>-0.85036881425861</v>
      </c>
      <c r="L5" s="14" t="s">
        <v>471</v>
      </c>
      <c r="M5" s="37" t="s">
        <v>472</v>
      </c>
      <c r="N5" s="23"/>
    </row>
    <row r="6" spans="1:14" s="2" customFormat="1" x14ac:dyDescent="0.25">
      <c r="A6" s="36" t="s">
        <v>7</v>
      </c>
      <c r="B6" s="14"/>
      <c r="C6" s="105" t="s">
        <v>31</v>
      </c>
      <c r="D6" s="21">
        <v>566.54499999999996</v>
      </c>
      <c r="E6" s="21">
        <v>783.56100000000004</v>
      </c>
      <c r="F6" s="21">
        <v>832.61400000000003</v>
      </c>
      <c r="G6" s="21">
        <v>651.15200000000004</v>
      </c>
      <c r="H6" s="21">
        <v>1081.56</v>
      </c>
      <c r="I6" s="22">
        <f t="shared" si="0"/>
        <v>0.66099466791163941</v>
      </c>
      <c r="J6" s="151">
        <f t="shared" si="1"/>
        <v>783.08640000000003</v>
      </c>
      <c r="K6" s="22">
        <f t="shared" si="2"/>
        <v>0.38115027920290778</v>
      </c>
      <c r="L6" s="43" t="s">
        <v>473</v>
      </c>
      <c r="M6" s="44" t="s">
        <v>474</v>
      </c>
      <c r="N6" s="23"/>
    </row>
    <row r="7" spans="1:14" s="2" customFormat="1" x14ac:dyDescent="0.25">
      <c r="A7" s="36" t="s">
        <v>7</v>
      </c>
      <c r="B7" s="14"/>
      <c r="C7" s="105" t="s">
        <v>423</v>
      </c>
      <c r="D7" s="21">
        <v>292.17200000000003</v>
      </c>
      <c r="E7" s="21">
        <v>362.05399999999997</v>
      </c>
      <c r="F7" s="21">
        <v>276.678</v>
      </c>
      <c r="G7" s="21">
        <v>168.00800000000001</v>
      </c>
      <c r="H7" s="21">
        <v>274.16399999999999</v>
      </c>
      <c r="I7" s="22">
        <f t="shared" ref="I7" si="3">IF(ISBLANK(H7),"N/A",IF(ISNA(H7/G7-1),"N/A",IF(ISERROR(H7/G7-1),"N/A",H7/G7-1)))</f>
        <v>0.63185086424455972</v>
      </c>
      <c r="J7" s="151">
        <f t="shared" si="1"/>
        <v>274.61520000000002</v>
      </c>
      <c r="K7" s="22">
        <f t="shared" ref="K7" si="4">IF(ISBLANK(H7),"",IF(ISNA(H7/AVERAGE(D7:H7)-1),"N/A",IF(ISERROR(H7/AVERAGE(D7:H7)-1),"N/A",H7/AVERAGE(D7:H7)-1)))</f>
        <v>-1.6430263146396396E-3</v>
      </c>
      <c r="L7" s="43" t="s">
        <v>473</v>
      </c>
      <c r="M7" s="44" t="s">
        <v>474</v>
      </c>
      <c r="N7" s="23"/>
    </row>
    <row r="8" spans="1:14" s="2" customFormat="1" x14ac:dyDescent="0.25">
      <c r="A8" s="324" t="s">
        <v>14</v>
      </c>
      <c r="B8" s="24" t="s">
        <v>8</v>
      </c>
      <c r="C8" s="105" t="s">
        <v>11</v>
      </c>
      <c r="D8" s="31">
        <v>169.22871499999999</v>
      </c>
      <c r="E8" s="25">
        <v>366.13136300000002</v>
      </c>
      <c r="F8" s="19">
        <v>531.664716</v>
      </c>
      <c r="G8" s="19">
        <v>333.32132200000001</v>
      </c>
      <c r="H8" s="19">
        <v>56.862020000000001</v>
      </c>
      <c r="I8" s="18">
        <f t="shared" si="0"/>
        <v>-0.82940779288040867</v>
      </c>
      <c r="J8" s="234">
        <f t="shared" si="1"/>
        <v>291.44162719999997</v>
      </c>
      <c r="K8" s="18">
        <f t="shared" si="2"/>
        <v>-0.80489396608749098</v>
      </c>
      <c r="L8" s="14" t="s">
        <v>469</v>
      </c>
      <c r="M8" s="16" t="s">
        <v>470</v>
      </c>
      <c r="N8" s="49"/>
    </row>
    <row r="9" spans="1:14" s="2" customFormat="1" x14ac:dyDescent="0.25">
      <c r="A9" s="324"/>
      <c r="B9" s="26" t="s">
        <v>438</v>
      </c>
      <c r="C9" s="105" t="s">
        <v>11</v>
      </c>
      <c r="D9" s="31">
        <v>8.9987700000000004</v>
      </c>
      <c r="E9" s="25">
        <v>50.954749999999997</v>
      </c>
      <c r="F9" s="19">
        <v>155.818153</v>
      </c>
      <c r="G9" s="19">
        <v>39.083433999999997</v>
      </c>
      <c r="H9" s="19">
        <v>20.175578999999999</v>
      </c>
      <c r="I9" s="18">
        <f t="shared" si="0"/>
        <v>-0.48378182428903249</v>
      </c>
      <c r="J9" s="234">
        <f t="shared" si="1"/>
        <v>55.006137199999991</v>
      </c>
      <c r="K9" s="18">
        <f t="shared" si="2"/>
        <v>-0.63321221909034531</v>
      </c>
      <c r="L9" s="14" t="s">
        <v>469</v>
      </c>
      <c r="M9" s="16" t="s">
        <v>470</v>
      </c>
      <c r="N9" s="49"/>
    </row>
    <row r="10" spans="1:14" s="2" customFormat="1" x14ac:dyDescent="0.25">
      <c r="A10" s="324"/>
      <c r="B10" s="26" t="s">
        <v>437</v>
      </c>
      <c r="C10" s="105" t="s">
        <v>11</v>
      </c>
      <c r="D10" s="31">
        <v>54.589370000000002</v>
      </c>
      <c r="E10" s="25">
        <v>58.073588999999998</v>
      </c>
      <c r="F10" s="19">
        <v>44.183309999999999</v>
      </c>
      <c r="G10" s="19">
        <v>64.648719999999997</v>
      </c>
      <c r="H10" s="19">
        <v>14.817441000000001</v>
      </c>
      <c r="I10" s="18">
        <f t="shared" si="0"/>
        <v>-0.77080070572162906</v>
      </c>
      <c r="J10" s="234">
        <f t="shared" si="1"/>
        <v>47.262486000000003</v>
      </c>
      <c r="K10" s="18">
        <f t="shared" si="2"/>
        <v>-0.68648621234185603</v>
      </c>
      <c r="L10" s="14" t="s">
        <v>469</v>
      </c>
      <c r="M10" s="16" t="s">
        <v>470</v>
      </c>
      <c r="N10" s="49"/>
    </row>
    <row r="11" spans="1:14" s="2" customFormat="1" x14ac:dyDescent="0.25">
      <c r="A11" s="324"/>
      <c r="B11" s="26" t="s">
        <v>515</v>
      </c>
      <c r="C11" s="105" t="s">
        <v>11</v>
      </c>
      <c r="D11" s="319">
        <v>14.752725</v>
      </c>
      <c r="E11" s="320">
        <v>20.045155999999999</v>
      </c>
      <c r="F11" s="165">
        <v>21.102636</v>
      </c>
      <c r="G11" s="165">
        <v>12.917771999999999</v>
      </c>
      <c r="H11" s="165">
        <v>13.109811000000001</v>
      </c>
      <c r="I11" s="18">
        <f t="shared" si="0"/>
        <v>1.486626331537666E-2</v>
      </c>
      <c r="J11" s="234">
        <f t="shared" si="1"/>
        <v>16.385619999999999</v>
      </c>
      <c r="K11" s="18">
        <f t="shared" si="2"/>
        <v>-0.19991974670473245</v>
      </c>
      <c r="L11" s="14" t="s">
        <v>469</v>
      </c>
      <c r="M11" s="16" t="s">
        <v>470</v>
      </c>
      <c r="N11" s="49"/>
    </row>
    <row r="12" spans="1:14" s="2" customFormat="1" x14ac:dyDescent="0.25">
      <c r="A12" s="36" t="s">
        <v>10</v>
      </c>
      <c r="B12" s="24" t="s">
        <v>8</v>
      </c>
      <c r="C12" s="105" t="s">
        <v>11</v>
      </c>
      <c r="D12" s="51">
        <v>8.8094160000000006</v>
      </c>
      <c r="E12" s="19">
        <v>12.489575</v>
      </c>
      <c r="F12" s="19">
        <v>12.864757000000001</v>
      </c>
      <c r="G12" s="19">
        <v>16.591311000000001</v>
      </c>
      <c r="H12" s="19">
        <v>13.451904000000001</v>
      </c>
      <c r="I12" s="18">
        <f t="shared" si="0"/>
        <v>-0.18921994771841721</v>
      </c>
      <c r="J12" s="234">
        <f t="shared" si="1"/>
        <v>12.841392600000001</v>
      </c>
      <c r="K12" s="18">
        <f t="shared" si="2"/>
        <v>4.7542460464918834E-2</v>
      </c>
      <c r="L12" s="14" t="s">
        <v>469</v>
      </c>
      <c r="M12" s="16" t="s">
        <v>470</v>
      </c>
      <c r="N12" s="49"/>
    </row>
    <row r="13" spans="1:14" s="2" customFormat="1" ht="15.75" x14ac:dyDescent="0.25">
      <c r="A13" s="226" t="s">
        <v>533</v>
      </c>
      <c r="B13" s="122" t="s">
        <v>8</v>
      </c>
      <c r="C13" s="233" t="s">
        <v>11</v>
      </c>
      <c r="D13" s="218">
        <f t="shared" ref="D13:G13" si="5">D8-D12</f>
        <v>160.419299</v>
      </c>
      <c r="E13" s="219">
        <f t="shared" si="5"/>
        <v>353.64178800000002</v>
      </c>
      <c r="F13" s="219">
        <f t="shared" si="5"/>
        <v>518.79995899999994</v>
      </c>
      <c r="G13" s="219">
        <f t="shared" si="5"/>
        <v>316.73001099999999</v>
      </c>
      <c r="H13" s="219">
        <f t="shared" ref="H13" si="6">H8-H12</f>
        <v>43.410116000000002</v>
      </c>
      <c r="I13" s="57">
        <f t="shared" si="0"/>
        <v>-0.8629428393509575</v>
      </c>
      <c r="J13" s="235">
        <f t="shared" si="1"/>
        <v>278.60023460000002</v>
      </c>
      <c r="K13" s="57">
        <f t="shared" si="2"/>
        <v>-0.84418492661240563</v>
      </c>
      <c r="L13" s="58" t="s">
        <v>469</v>
      </c>
      <c r="M13" s="55" t="s">
        <v>470</v>
      </c>
      <c r="N13" s="49"/>
    </row>
    <row r="14" spans="1:14" x14ac:dyDescent="0.25">
      <c r="A14" s="53" t="s">
        <v>80</v>
      </c>
      <c r="F14" s="12"/>
      <c r="G14" s="12"/>
      <c r="H14" s="12"/>
      <c r="I14" s="12"/>
      <c r="J14" s="12"/>
      <c r="K14" s="12"/>
    </row>
    <row r="15" spans="1:14" ht="17.25" x14ac:dyDescent="0.25">
      <c r="A15" s="81" t="s">
        <v>519</v>
      </c>
      <c r="F15" s="12"/>
      <c r="G15" s="12"/>
      <c r="H15" s="12"/>
      <c r="I15" s="12"/>
      <c r="J15" s="12"/>
      <c r="K15" s="12"/>
    </row>
    <row r="16" spans="1:14" ht="17.25" x14ac:dyDescent="0.25">
      <c r="A16" s="81" t="s">
        <v>532</v>
      </c>
    </row>
    <row r="17" spans="1:1" ht="17.25" x14ac:dyDescent="0.25">
      <c r="A17" s="49" t="s">
        <v>521</v>
      </c>
    </row>
  </sheetData>
  <mergeCells count="1">
    <mergeCell ref="A8:A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AD17"/>
  <sheetViews>
    <sheetView workbookViewId="0"/>
  </sheetViews>
  <sheetFormatPr defaultRowHeight="15" x14ac:dyDescent="0.25"/>
  <cols>
    <col min="1" max="1" width="19" style="12" bestFit="1" customWidth="1"/>
    <col min="2" max="2" width="11.28515625" style="12" bestFit="1" customWidth="1"/>
    <col min="3" max="3" width="18.28515625" style="12" bestFit="1" customWidth="1"/>
    <col min="4" max="5" width="10.5703125" style="12" bestFit="1" customWidth="1"/>
    <col min="6" max="6" width="10.5703125" style="11" bestFit="1" customWidth="1"/>
    <col min="7" max="7" width="10.7109375" style="11" bestFit="1" customWidth="1"/>
    <col min="8" max="8" width="10.7109375" style="11" customWidth="1"/>
    <col min="9" max="10" width="16.7109375" style="11" customWidth="1"/>
    <col min="11" max="11" width="16.85546875" style="13" bestFit="1" customWidth="1"/>
    <col min="12" max="12" width="25.5703125" style="12" bestFit="1" customWidth="1"/>
    <col min="13" max="13" width="255.7109375" style="12" bestFit="1" customWidth="1"/>
    <col min="14" max="14" width="34.7109375" style="12" customWidth="1"/>
    <col min="15" max="30" width="9.140625" style="12"/>
  </cols>
  <sheetData>
    <row r="1" spans="1:30" s="1" customFormat="1" ht="30" x14ac:dyDescent="0.25">
      <c r="A1" s="33" t="s">
        <v>0</v>
      </c>
      <c r="B1" s="34" t="s">
        <v>9</v>
      </c>
      <c r="C1" s="35" t="s">
        <v>1</v>
      </c>
      <c r="D1" s="34" t="str">
        <f>+'Output Table'!C1</f>
        <v>2014-15</v>
      </c>
      <c r="E1" s="34" t="str">
        <f>+'Output Table'!D1</f>
        <v>2015-16</v>
      </c>
      <c r="F1" s="34" t="str">
        <f>+'Output Table'!E1</f>
        <v>2016-17</v>
      </c>
      <c r="G1" s="34" t="str">
        <f>+'Output Table'!F1</f>
        <v>2017-18</v>
      </c>
      <c r="H1" s="34" t="str">
        <f>+'Output Table'!G1</f>
        <v>2018-19e</v>
      </c>
      <c r="I1" s="39" t="s">
        <v>136</v>
      </c>
      <c r="J1" s="39" t="s">
        <v>428</v>
      </c>
      <c r="K1" s="41" t="s">
        <v>422</v>
      </c>
      <c r="L1" s="34" t="s">
        <v>15</v>
      </c>
      <c r="M1" s="35" t="s">
        <v>16</v>
      </c>
      <c r="N1" s="10" t="s">
        <v>17</v>
      </c>
      <c r="O1" s="11"/>
      <c r="P1" s="11"/>
      <c r="Q1" s="11"/>
      <c r="R1" s="11"/>
      <c r="S1" s="11"/>
      <c r="T1" s="11"/>
      <c r="U1" s="11"/>
      <c r="V1" s="11"/>
      <c r="W1" s="11"/>
      <c r="X1" s="11"/>
      <c r="Y1" s="11"/>
      <c r="Z1" s="11"/>
      <c r="AA1" s="11"/>
      <c r="AB1" s="11"/>
      <c r="AC1" s="11"/>
      <c r="AD1" s="11"/>
    </row>
    <row r="2" spans="1:30" s="2" customFormat="1" ht="15" customHeight="1" x14ac:dyDescent="0.25">
      <c r="A2" s="36" t="s">
        <v>5</v>
      </c>
      <c r="B2" s="14"/>
      <c r="C2" s="16" t="s">
        <v>11</v>
      </c>
      <c r="D2" s="29">
        <v>510.39223373999999</v>
      </c>
      <c r="E2" s="60">
        <v>511.54168149999998</v>
      </c>
      <c r="F2" s="60">
        <v>714.50016290999997</v>
      </c>
      <c r="G2" s="60">
        <v>487.99958887999998</v>
      </c>
      <c r="H2" s="60">
        <v>94.365978700576719</v>
      </c>
      <c r="I2" s="88">
        <f t="shared" ref="I2:I13" si="0">IF(ISBLANK(H2),"N/A",IF(ISNA(H2/G2-1),"N/A",IF(ISERROR(H2/G2-1),"N/A",H2/G2-1)))</f>
        <v>-0.80662692991780061</v>
      </c>
      <c r="J2" s="151">
        <f>IF(ISBLANK(H2),"",IF(ISNA(AVERAGE(D2:H2)),"N/A",IF(ISERROR(AVERAGE(D2:H2)),"N/A",AVERAGE(D2:H2))))</f>
        <v>463.75992914611533</v>
      </c>
      <c r="K2" s="88">
        <f t="shared" ref="K2:K13" si="1">IF(ISBLANK(H2),"",IF(ISNA(H2/AVERAGE(D2:H2)-1),"N/A",IF(ISERROR(H2/AVERAGE(D2:H2)-1),"N/A",H2/AVERAGE(D2:H2)-1)))</f>
        <v>-0.79651976643535072</v>
      </c>
      <c r="L2" s="14" t="s">
        <v>485</v>
      </c>
      <c r="M2" s="169" t="s">
        <v>484</v>
      </c>
      <c r="N2" s="49" t="s">
        <v>511</v>
      </c>
      <c r="O2" s="49"/>
      <c r="P2" s="49"/>
      <c r="Q2" s="49"/>
      <c r="R2" s="49"/>
      <c r="S2" s="49"/>
      <c r="T2" s="49"/>
      <c r="U2" s="49"/>
      <c r="V2" s="49"/>
      <c r="W2" s="49"/>
      <c r="X2" s="49"/>
      <c r="Y2" s="49"/>
      <c r="Z2" s="49"/>
      <c r="AA2" s="49"/>
      <c r="AB2" s="49"/>
      <c r="AC2" s="49"/>
      <c r="AD2" s="49"/>
    </row>
    <row r="3" spans="1:30" s="2" customFormat="1" x14ac:dyDescent="0.25">
      <c r="A3" s="36" t="s">
        <v>20</v>
      </c>
      <c r="B3" s="24"/>
      <c r="C3" s="15" t="s">
        <v>22</v>
      </c>
      <c r="D3" s="50">
        <v>847.11299999999994</v>
      </c>
      <c r="E3" s="20">
        <v>754.8420000000001</v>
      </c>
      <c r="F3" s="20">
        <v>1174.6210000000001</v>
      </c>
      <c r="G3" s="20">
        <v>1244.5119999999999</v>
      </c>
      <c r="H3" s="20">
        <v>443.1</v>
      </c>
      <c r="I3" s="87">
        <f t="shared" si="0"/>
        <v>-0.64395682805790533</v>
      </c>
      <c r="J3" s="140">
        <f t="shared" ref="J3:J13" si="2">IF(ISBLANK(H3),"",IF(ISNA(AVERAGE(D3:H3)),"N/A",IF(ISERROR(AVERAGE(D3:H3)),"N/A",AVERAGE(D3:H3))))</f>
        <v>892.83760000000007</v>
      </c>
      <c r="K3" s="87">
        <f t="shared" si="1"/>
        <v>-0.50371713736070256</v>
      </c>
      <c r="L3" s="14" t="s">
        <v>471</v>
      </c>
      <c r="M3" s="37" t="s">
        <v>472</v>
      </c>
      <c r="N3" s="23"/>
      <c r="O3" s="49"/>
      <c r="P3" s="49"/>
      <c r="Q3" s="49"/>
      <c r="R3" s="49"/>
      <c r="S3" s="49"/>
      <c r="T3" s="49"/>
      <c r="U3" s="49"/>
      <c r="V3" s="49"/>
      <c r="W3" s="49"/>
      <c r="X3" s="49"/>
      <c r="Y3" s="49"/>
      <c r="Z3" s="49"/>
      <c r="AA3" s="49"/>
      <c r="AB3" s="49"/>
      <c r="AC3" s="49"/>
      <c r="AD3" s="49"/>
    </row>
    <row r="4" spans="1:30" s="2" customFormat="1" x14ac:dyDescent="0.25">
      <c r="A4" s="36" t="s">
        <v>21</v>
      </c>
      <c r="B4" s="24"/>
      <c r="C4" s="16" t="s">
        <v>28</v>
      </c>
      <c r="D4" s="19">
        <v>1.4501140112208786</v>
      </c>
      <c r="E4" s="19">
        <v>1.648390719221603</v>
      </c>
      <c r="F4" s="19">
        <v>1.5889840379555242</v>
      </c>
      <c r="G4" s="19">
        <v>1.0380076091961508</v>
      </c>
      <c r="H4" s="19">
        <v>0.8</v>
      </c>
      <c r="I4" s="87">
        <f t="shared" si="0"/>
        <v>-0.22929274033016722</v>
      </c>
      <c r="J4" s="156">
        <f t="shared" si="2"/>
        <v>1.3050992755188313</v>
      </c>
      <c r="K4" s="87">
        <f t="shared" si="1"/>
        <v>-0.38701981143774156</v>
      </c>
      <c r="L4" s="14" t="s">
        <v>471</v>
      </c>
      <c r="M4" s="37" t="s">
        <v>472</v>
      </c>
      <c r="N4" s="23"/>
      <c r="O4" s="49"/>
      <c r="P4" s="49"/>
      <c r="Q4" s="49"/>
      <c r="R4" s="49"/>
      <c r="S4" s="49"/>
      <c r="T4" s="49"/>
      <c r="U4" s="49"/>
      <c r="V4" s="49"/>
      <c r="W4" s="49"/>
      <c r="X4" s="49"/>
      <c r="Y4" s="49"/>
      <c r="Z4" s="49"/>
      <c r="AA4" s="49"/>
      <c r="AB4" s="49"/>
      <c r="AC4" s="49"/>
      <c r="AD4" s="49"/>
    </row>
    <row r="5" spans="1:30" s="2" customFormat="1" x14ac:dyDescent="0.25">
      <c r="A5" s="36" t="s">
        <v>6</v>
      </c>
      <c r="B5" s="14"/>
      <c r="C5" s="15" t="s">
        <v>12</v>
      </c>
      <c r="D5" s="20">
        <v>1528.7829999999999</v>
      </c>
      <c r="E5" s="20">
        <v>1534.692</v>
      </c>
      <c r="F5" s="20">
        <v>2093.7399999999998</v>
      </c>
      <c r="G5" s="20">
        <v>1997.617</v>
      </c>
      <c r="H5" s="20">
        <v>647.34100000000001</v>
      </c>
      <c r="I5" s="87">
        <f t="shared" si="0"/>
        <v>-0.67594338654506836</v>
      </c>
      <c r="J5" s="140">
        <f t="shared" si="2"/>
        <v>1560.4346</v>
      </c>
      <c r="K5" s="87">
        <f t="shared" si="1"/>
        <v>-0.58515339252282672</v>
      </c>
      <c r="L5" s="14" t="s">
        <v>471</v>
      </c>
      <c r="M5" s="37" t="s">
        <v>472</v>
      </c>
      <c r="N5" s="23"/>
      <c r="O5" s="49"/>
      <c r="P5" s="49"/>
      <c r="Q5" s="49"/>
      <c r="R5" s="49"/>
      <c r="S5" s="49"/>
      <c r="T5" s="49"/>
      <c r="U5" s="49"/>
      <c r="V5" s="49"/>
      <c r="W5" s="49"/>
      <c r="X5" s="49"/>
      <c r="Y5" s="49"/>
      <c r="Z5" s="49"/>
      <c r="AA5" s="49"/>
      <c r="AB5" s="49"/>
      <c r="AC5" s="49"/>
      <c r="AD5" s="49"/>
    </row>
    <row r="6" spans="1:30" s="2" customFormat="1" x14ac:dyDescent="0.25">
      <c r="A6" s="36" t="s">
        <v>7</v>
      </c>
      <c r="B6" s="14"/>
      <c r="C6" s="16" t="s">
        <v>27</v>
      </c>
      <c r="D6" s="30">
        <v>503.48899999999998</v>
      </c>
      <c r="E6" s="21">
        <v>531.67899999999997</v>
      </c>
      <c r="F6" s="21">
        <v>559.226</v>
      </c>
      <c r="G6" s="21">
        <v>539.11599999999999</v>
      </c>
      <c r="H6" s="21">
        <v>608.04899999999998</v>
      </c>
      <c r="I6" s="88">
        <f t="shared" si="0"/>
        <v>0.12786302020344409</v>
      </c>
      <c r="J6" s="141">
        <f t="shared" si="2"/>
        <v>548.31179999999995</v>
      </c>
      <c r="K6" s="88">
        <f t="shared" si="1"/>
        <v>0.1089475003091307</v>
      </c>
      <c r="L6" s="43" t="s">
        <v>473</v>
      </c>
      <c r="M6" s="44" t="s">
        <v>474</v>
      </c>
      <c r="N6" s="23"/>
      <c r="O6" s="49"/>
      <c r="P6" s="49"/>
      <c r="Q6" s="49"/>
      <c r="R6" s="49"/>
      <c r="S6" s="49"/>
      <c r="T6" s="49"/>
      <c r="U6" s="49"/>
      <c r="V6" s="49"/>
      <c r="W6" s="49"/>
      <c r="X6" s="49"/>
      <c r="Y6" s="49"/>
      <c r="Z6" s="49"/>
      <c r="AA6" s="49"/>
      <c r="AB6" s="49"/>
      <c r="AC6" s="49"/>
      <c r="AD6" s="49"/>
    </row>
    <row r="7" spans="1:30" s="2" customFormat="1" x14ac:dyDescent="0.25">
      <c r="A7" s="36" t="s">
        <v>7</v>
      </c>
      <c r="B7" s="14"/>
      <c r="C7" s="16" t="s">
        <v>424</v>
      </c>
      <c r="D7" s="30">
        <v>587.63099999999997</v>
      </c>
      <c r="E7" s="21">
        <v>569.40599999999995</v>
      </c>
      <c r="F7" s="21">
        <v>779.86800000000005</v>
      </c>
      <c r="G7" s="21">
        <v>446.50099999999998</v>
      </c>
      <c r="H7" s="21">
        <v>452.43599999999998</v>
      </c>
      <c r="I7" s="88">
        <f t="shared" ref="I7" si="3">IF(ISBLANK(H7),"N/A",IF(ISNA(H7/G7-1),"N/A",IF(ISERROR(H7/G7-1),"N/A",H7/G7-1)))</f>
        <v>1.3292243466419995E-2</v>
      </c>
      <c r="J7" s="141">
        <f t="shared" si="2"/>
        <v>567.16840000000002</v>
      </c>
      <c r="K7" s="88">
        <f t="shared" ref="K7" si="4">IF(ISBLANK(H7),"",IF(ISNA(H7/AVERAGE(D7:H7)-1),"N/A",IF(ISERROR(H7/AVERAGE(D7:H7)-1),"N/A",H7/AVERAGE(D7:H7)-1)))</f>
        <v>-0.20228983137988654</v>
      </c>
      <c r="L7" s="43" t="s">
        <v>473</v>
      </c>
      <c r="M7" s="44" t="s">
        <v>474</v>
      </c>
      <c r="N7" s="23"/>
      <c r="O7" s="49"/>
      <c r="P7" s="49"/>
      <c r="Q7" s="49"/>
      <c r="R7" s="49"/>
      <c r="S7" s="49"/>
      <c r="T7" s="49"/>
      <c r="U7" s="49"/>
      <c r="V7" s="49"/>
      <c r="W7" s="49"/>
      <c r="X7" s="49"/>
      <c r="Y7" s="49"/>
      <c r="Z7" s="49"/>
      <c r="AA7" s="49"/>
      <c r="AB7" s="49"/>
      <c r="AC7" s="49"/>
      <c r="AD7" s="49"/>
    </row>
    <row r="8" spans="1:30" s="2" customFormat="1" x14ac:dyDescent="0.25">
      <c r="A8" s="324" t="s">
        <v>14</v>
      </c>
      <c r="B8" s="24" t="s">
        <v>8</v>
      </c>
      <c r="C8" s="16" t="s">
        <v>11</v>
      </c>
      <c r="D8" s="170">
        <v>131.48335700000001</v>
      </c>
      <c r="E8" s="165">
        <v>136.493942</v>
      </c>
      <c r="F8" s="165">
        <v>217.11319700000001</v>
      </c>
      <c r="G8" s="165">
        <v>36.725349999999999</v>
      </c>
      <c r="H8" s="165">
        <v>18.198782999999999</v>
      </c>
      <c r="I8" s="87">
        <f t="shared" si="0"/>
        <v>-0.50446263956640314</v>
      </c>
      <c r="J8" s="156">
        <f t="shared" si="2"/>
        <v>108.00292580000003</v>
      </c>
      <c r="K8" s="87">
        <f t="shared" si="1"/>
        <v>-0.83149731486255729</v>
      </c>
      <c r="L8" s="14" t="s">
        <v>469</v>
      </c>
      <c r="M8" s="16" t="s">
        <v>470</v>
      </c>
      <c r="N8" s="49"/>
      <c r="O8" s="49"/>
      <c r="P8" s="49"/>
      <c r="Q8" s="49"/>
      <c r="R8" s="49"/>
      <c r="S8" s="49"/>
      <c r="T8" s="49"/>
      <c r="U8" s="49"/>
      <c r="V8" s="49"/>
      <c r="W8" s="49"/>
      <c r="X8" s="49"/>
      <c r="Y8" s="49"/>
      <c r="Z8" s="49"/>
      <c r="AA8" s="49"/>
      <c r="AB8" s="49"/>
      <c r="AC8" s="49"/>
      <c r="AD8" s="49"/>
    </row>
    <row r="9" spans="1:30" s="2" customFormat="1" x14ac:dyDescent="0.25">
      <c r="A9" s="324"/>
      <c r="B9" s="26" t="s">
        <v>431</v>
      </c>
      <c r="C9" s="16" t="s">
        <v>11</v>
      </c>
      <c r="D9" s="170">
        <v>2.6271010000000001</v>
      </c>
      <c r="E9" s="165">
        <v>5.7792130000000004</v>
      </c>
      <c r="F9" s="165">
        <v>23.594557999999999</v>
      </c>
      <c r="G9" s="165">
        <v>24.085819000000001</v>
      </c>
      <c r="H9" s="165">
        <v>10.321704</v>
      </c>
      <c r="I9" s="87">
        <f t="shared" si="0"/>
        <v>-0.57146136488030574</v>
      </c>
      <c r="J9" s="156">
        <f t="shared" si="2"/>
        <v>13.281679</v>
      </c>
      <c r="K9" s="87">
        <f t="shared" si="1"/>
        <v>-0.22286150719348052</v>
      </c>
      <c r="L9" s="14" t="s">
        <v>469</v>
      </c>
      <c r="M9" s="16" t="s">
        <v>470</v>
      </c>
      <c r="N9" s="49"/>
      <c r="O9" s="49"/>
      <c r="P9" s="49"/>
      <c r="Q9" s="49"/>
      <c r="R9" s="49"/>
      <c r="S9" s="49"/>
      <c r="T9" s="49"/>
      <c r="U9" s="49"/>
      <c r="V9" s="49"/>
      <c r="W9" s="49"/>
      <c r="X9" s="49"/>
      <c r="Y9" s="49"/>
      <c r="Z9" s="49"/>
      <c r="AA9" s="49"/>
      <c r="AB9" s="49"/>
      <c r="AC9" s="49"/>
      <c r="AD9" s="49"/>
    </row>
    <row r="10" spans="1:30" s="2" customFormat="1" x14ac:dyDescent="0.25">
      <c r="A10" s="324"/>
      <c r="B10" s="26" t="s">
        <v>439</v>
      </c>
      <c r="C10" s="16" t="s">
        <v>11</v>
      </c>
      <c r="D10" s="170">
        <v>7.4160430000000002</v>
      </c>
      <c r="E10" s="165">
        <v>12.315464</v>
      </c>
      <c r="F10" s="165">
        <v>4.0281520000000004</v>
      </c>
      <c r="G10" s="165">
        <v>2.8714230000000001</v>
      </c>
      <c r="H10" s="165">
        <v>2.5333139999999998</v>
      </c>
      <c r="I10" s="87">
        <f t="shared" si="0"/>
        <v>-0.1177496314545089</v>
      </c>
      <c r="J10" s="156">
        <f t="shared" si="2"/>
        <v>5.8328791999999998</v>
      </c>
      <c r="K10" s="87">
        <f t="shared" si="1"/>
        <v>-0.56568378786243345</v>
      </c>
      <c r="L10" s="14" t="s">
        <v>469</v>
      </c>
      <c r="M10" s="16" t="s">
        <v>470</v>
      </c>
      <c r="N10" s="49"/>
      <c r="O10" s="49"/>
      <c r="P10" s="49"/>
      <c r="Q10" s="49"/>
      <c r="R10" s="49"/>
      <c r="S10" s="49"/>
      <c r="T10" s="49"/>
      <c r="U10" s="49"/>
      <c r="V10" s="49"/>
      <c r="W10" s="49"/>
      <c r="X10" s="49"/>
      <c r="Y10" s="49"/>
      <c r="Z10" s="49"/>
      <c r="AA10" s="49"/>
      <c r="AB10" s="49"/>
      <c r="AC10" s="49"/>
      <c r="AD10" s="49"/>
    </row>
    <row r="11" spans="1:30" s="2" customFormat="1" x14ac:dyDescent="0.25">
      <c r="A11" s="324"/>
      <c r="B11" s="26" t="s">
        <v>514</v>
      </c>
      <c r="C11" s="16" t="s">
        <v>11</v>
      </c>
      <c r="D11" s="170">
        <v>5.5904030000000002</v>
      </c>
      <c r="E11" s="165">
        <v>7.1237399999999997</v>
      </c>
      <c r="F11" s="165">
        <v>5.742102</v>
      </c>
      <c r="G11" s="165">
        <v>0.44026700000000002</v>
      </c>
      <c r="H11" s="165">
        <v>2.1445439999999998</v>
      </c>
      <c r="I11" s="87">
        <f t="shared" si="0"/>
        <v>3.8710078202545271</v>
      </c>
      <c r="J11" s="156">
        <f>IF(ISBLANK(H11),"",IF(ISNA(AVERAGE(D11:H11)),"N/A",IF(ISERROR(AVERAGE(D11:H11)),"N/A",AVERAGE(D11:H11))))</f>
        <v>4.2082111999999992</v>
      </c>
      <c r="K11" s="87">
        <f t="shared" si="1"/>
        <v>-0.49039059636550553</v>
      </c>
      <c r="L11" s="14" t="s">
        <v>469</v>
      </c>
      <c r="M11" s="16" t="s">
        <v>470</v>
      </c>
      <c r="N11" s="49"/>
      <c r="O11" s="49"/>
      <c r="P11" s="49"/>
      <c r="Q11" s="49"/>
      <c r="R11" s="49"/>
      <c r="S11" s="49"/>
      <c r="T11" s="49"/>
      <c r="U11" s="49"/>
      <c r="V11" s="49"/>
      <c r="W11" s="49"/>
      <c r="X11" s="49"/>
      <c r="Y11" s="49"/>
      <c r="Z11" s="49"/>
      <c r="AA11" s="49"/>
      <c r="AB11" s="49"/>
      <c r="AC11" s="49"/>
      <c r="AD11" s="49"/>
    </row>
    <row r="12" spans="1:30" s="2" customFormat="1" x14ac:dyDescent="0.25">
      <c r="A12" s="36" t="s">
        <v>10</v>
      </c>
      <c r="B12" s="24" t="s">
        <v>8</v>
      </c>
      <c r="C12" s="16" t="s">
        <v>11</v>
      </c>
      <c r="D12" s="165">
        <v>17.428944999999999</v>
      </c>
      <c r="E12" s="165">
        <v>16.46358</v>
      </c>
      <c r="F12" s="165">
        <v>15.466136000000001</v>
      </c>
      <c r="G12" s="165">
        <v>13.996165</v>
      </c>
      <c r="H12" s="165">
        <v>18.585455</v>
      </c>
      <c r="I12" s="87">
        <f t="shared" si="0"/>
        <v>0.32789624872241796</v>
      </c>
      <c r="J12" s="156">
        <f t="shared" si="2"/>
        <v>16.388056200000001</v>
      </c>
      <c r="K12" s="87">
        <f t="shared" si="1"/>
        <v>0.13408538347580223</v>
      </c>
      <c r="L12" s="14" t="s">
        <v>469</v>
      </c>
      <c r="M12" s="16" t="s">
        <v>470</v>
      </c>
      <c r="N12" s="49"/>
      <c r="O12" s="49"/>
      <c r="P12" s="49"/>
      <c r="Q12" s="49"/>
      <c r="R12" s="49"/>
      <c r="S12" s="49"/>
      <c r="T12" s="49"/>
      <c r="U12" s="49"/>
      <c r="V12" s="49"/>
      <c r="W12" s="49"/>
      <c r="X12" s="49"/>
      <c r="Y12" s="49"/>
      <c r="Z12" s="49"/>
      <c r="AA12" s="49"/>
      <c r="AB12" s="49"/>
      <c r="AC12" s="49"/>
      <c r="AD12" s="49"/>
    </row>
    <row r="13" spans="1:30" s="2" customFormat="1" ht="15.75" x14ac:dyDescent="0.25">
      <c r="A13" s="226" t="s">
        <v>533</v>
      </c>
      <c r="B13" s="122" t="s">
        <v>8</v>
      </c>
      <c r="C13" s="55" t="s">
        <v>11</v>
      </c>
      <c r="D13" s="221">
        <f t="shared" ref="D13:H13" si="5">D8-D12</f>
        <v>114.05441200000001</v>
      </c>
      <c r="E13" s="222">
        <f t="shared" si="5"/>
        <v>120.030362</v>
      </c>
      <c r="F13" s="222">
        <f t="shared" si="5"/>
        <v>201.64706100000001</v>
      </c>
      <c r="G13" s="222">
        <f t="shared" si="5"/>
        <v>22.729185000000001</v>
      </c>
      <c r="H13" s="222">
        <f t="shared" si="5"/>
        <v>-0.38667200000000079</v>
      </c>
      <c r="I13" s="89">
        <f t="shared" si="0"/>
        <v>-1.0170121365988267</v>
      </c>
      <c r="J13" s="220">
        <f t="shared" si="2"/>
        <v>91.61486960000002</v>
      </c>
      <c r="K13" s="89">
        <f t="shared" si="1"/>
        <v>-1.0042206249017027</v>
      </c>
      <c r="L13" s="58" t="s">
        <v>469</v>
      </c>
      <c r="M13" s="55" t="s">
        <v>470</v>
      </c>
      <c r="N13" s="49"/>
      <c r="O13" s="49"/>
      <c r="P13" s="49"/>
      <c r="Q13" s="49"/>
      <c r="R13" s="49"/>
      <c r="S13" s="49"/>
      <c r="T13" s="49"/>
      <c r="U13" s="49"/>
      <c r="V13" s="49"/>
      <c r="W13" s="49"/>
      <c r="X13" s="49"/>
      <c r="Y13" s="49"/>
      <c r="Z13" s="49"/>
      <c r="AA13" s="49"/>
      <c r="AB13" s="49"/>
      <c r="AC13" s="49"/>
      <c r="AD13" s="49"/>
    </row>
    <row r="14" spans="1:30" x14ac:dyDescent="0.25">
      <c r="A14" s="53" t="s">
        <v>80</v>
      </c>
      <c r="F14" s="12"/>
      <c r="G14" s="12"/>
      <c r="H14" s="12"/>
      <c r="I14" s="12"/>
      <c r="J14" s="12"/>
      <c r="K14" s="12"/>
    </row>
    <row r="15" spans="1:30" ht="17.25" x14ac:dyDescent="0.25">
      <c r="A15" s="81" t="s">
        <v>519</v>
      </c>
      <c r="F15" s="12"/>
      <c r="G15" s="12"/>
      <c r="H15" s="12"/>
      <c r="I15" s="12"/>
      <c r="J15" s="12"/>
      <c r="K15" s="12"/>
    </row>
    <row r="16" spans="1:30" ht="17.25" x14ac:dyDescent="0.25">
      <c r="A16" s="81" t="s">
        <v>532</v>
      </c>
    </row>
    <row r="17" spans="1:1" ht="17.25" x14ac:dyDescent="0.25">
      <c r="A17" s="49" t="s">
        <v>521</v>
      </c>
    </row>
  </sheetData>
  <mergeCells count="1">
    <mergeCell ref="A8:A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N17"/>
  <sheetViews>
    <sheetView workbookViewId="0"/>
  </sheetViews>
  <sheetFormatPr defaultRowHeight="15" x14ac:dyDescent="0.25"/>
  <cols>
    <col min="1" max="1" width="19" style="12" bestFit="1" customWidth="1"/>
    <col min="2" max="2" width="11.28515625" style="12" bestFit="1" customWidth="1"/>
    <col min="3" max="3" width="16.140625" style="12" bestFit="1" customWidth="1"/>
    <col min="4" max="4" width="11.85546875" style="12" bestFit="1" customWidth="1"/>
    <col min="5" max="5" width="11.7109375" style="12" bestFit="1" customWidth="1"/>
    <col min="6" max="6" width="11.85546875" style="11" bestFit="1" customWidth="1"/>
    <col min="7" max="7" width="11.5703125" style="11" bestFit="1" customWidth="1"/>
    <col min="8" max="8" width="11.5703125" style="11" customWidth="1"/>
    <col min="9" max="10" width="16.7109375" style="11" customWidth="1"/>
    <col min="11" max="11" width="16.85546875" style="13" bestFit="1" customWidth="1"/>
    <col min="12" max="12" width="25.5703125" style="12" bestFit="1" customWidth="1"/>
    <col min="13" max="13" width="124.5703125" style="12" bestFit="1" customWidth="1"/>
    <col min="14" max="14" width="34.7109375" style="12" customWidth="1"/>
  </cols>
  <sheetData>
    <row r="1" spans="1:14" s="1" customFormat="1" ht="30" x14ac:dyDescent="0.25">
      <c r="A1" s="33" t="s">
        <v>0</v>
      </c>
      <c r="B1" s="34" t="s">
        <v>9</v>
      </c>
      <c r="C1" s="35" t="s">
        <v>1</v>
      </c>
      <c r="D1" s="34" t="str">
        <f>'Output Table'!C1</f>
        <v>2014-15</v>
      </c>
      <c r="E1" s="34" t="str">
        <f>'Output Table'!D1</f>
        <v>2015-16</v>
      </c>
      <c r="F1" s="34" t="str">
        <f>'Output Table'!E1</f>
        <v>2016-17</v>
      </c>
      <c r="G1" s="34" t="str">
        <f>'Output Table'!F1</f>
        <v>2017-18</v>
      </c>
      <c r="H1" s="34" t="str">
        <f>'Output Table'!G1</f>
        <v>2018-19e</v>
      </c>
      <c r="I1" s="39" t="s">
        <v>136</v>
      </c>
      <c r="J1" s="39" t="s">
        <v>428</v>
      </c>
      <c r="K1" s="41" t="s">
        <v>422</v>
      </c>
      <c r="L1" s="34" t="s">
        <v>15</v>
      </c>
      <c r="M1" s="35" t="s">
        <v>16</v>
      </c>
      <c r="N1" s="10" t="s">
        <v>17</v>
      </c>
    </row>
    <row r="2" spans="1:14" s="2" customFormat="1" ht="17.25" customHeight="1" x14ac:dyDescent="0.25">
      <c r="A2" s="36" t="s">
        <v>5</v>
      </c>
      <c r="B2" s="14"/>
      <c r="C2" s="16" t="s">
        <v>11</v>
      </c>
      <c r="D2" s="29">
        <v>573.78310267999996</v>
      </c>
      <c r="E2" s="17">
        <v>874.13875369000004</v>
      </c>
      <c r="F2" s="60">
        <v>1059.4663880000001</v>
      </c>
      <c r="G2" s="60">
        <v>1628.7418164999999</v>
      </c>
      <c r="H2" s="60">
        <v>763.22763965441516</v>
      </c>
      <c r="I2" s="22">
        <f t="shared" ref="I2:I12" si="0">IF(ISBLANK(H2),"N/A",IF(ISNA(H2/G2-1),"N/A",IF(ISERROR(H2/G2-1),"N/A",H2/G2-1)))</f>
        <v>-0.53140047616968933</v>
      </c>
      <c r="J2" s="151">
        <f>IF(ISBLANK(H2),"",IF(ISNA(AVERAGE(D2:H2)),"N/A",IF(ISERROR(AVERAGE(D2:H2)),"N/A",AVERAGE(D2:H2))))</f>
        <v>979.87154010488302</v>
      </c>
      <c r="K2" s="22">
        <f t="shared" ref="K2:K12" si="1">IF(ISBLANK(H2),"",IF(ISNA(H2/AVERAGE(D2:H2)-1),"N/A",IF(ISERROR(H2/AVERAGE(D2:H2)-1),"N/A",H2/AVERAGE(D2:H2)-1)))</f>
        <v>-0.22109418590448993</v>
      </c>
      <c r="L2" s="14" t="s">
        <v>485</v>
      </c>
      <c r="M2" s="169" t="s">
        <v>484</v>
      </c>
      <c r="N2" s="49" t="s">
        <v>511</v>
      </c>
    </row>
    <row r="3" spans="1:14" s="2" customFormat="1" x14ac:dyDescent="0.25">
      <c r="A3" s="36" t="s">
        <v>20</v>
      </c>
      <c r="B3" s="24"/>
      <c r="C3" s="15" t="s">
        <v>22</v>
      </c>
      <c r="D3" s="50">
        <v>124</v>
      </c>
      <c r="E3" s="20">
        <v>163</v>
      </c>
      <c r="F3" s="20">
        <v>370</v>
      </c>
      <c r="G3" s="20">
        <v>350.5</v>
      </c>
      <c r="H3" s="20">
        <v>226.8</v>
      </c>
      <c r="I3" s="18">
        <f t="shared" si="0"/>
        <v>-0.35292439372325246</v>
      </c>
      <c r="J3" s="152">
        <f t="shared" ref="J3:J12" si="2">IF(ISBLANK(H3),"",IF(ISNA(AVERAGE(D3:H3)),"N/A",IF(ISERROR(AVERAGE(D3:H3)),"N/A",AVERAGE(D3:H3))))</f>
        <v>246.85999999999999</v>
      </c>
      <c r="K3" s="18">
        <f t="shared" si="1"/>
        <v>-8.1260633557481921E-2</v>
      </c>
      <c r="L3" s="14" t="s">
        <v>471</v>
      </c>
      <c r="M3" s="37" t="s">
        <v>472</v>
      </c>
      <c r="N3" s="23"/>
    </row>
    <row r="4" spans="1:14" s="2" customFormat="1" x14ac:dyDescent="0.25">
      <c r="A4" s="36" t="s">
        <v>21</v>
      </c>
      <c r="B4" s="24"/>
      <c r="C4" s="16" t="s">
        <v>81</v>
      </c>
      <c r="D4" s="51">
        <f t="shared" ref="D4:H4" si="3">D5/D3</f>
        <v>11.864715077447777</v>
      </c>
      <c r="E4" s="19">
        <f t="shared" si="3"/>
        <v>10.676062809113267</v>
      </c>
      <c r="F4" s="19">
        <f t="shared" si="3"/>
        <v>6.8508155732825333</v>
      </c>
      <c r="G4" s="19">
        <f t="shared" si="3"/>
        <v>9.2713367310387298</v>
      </c>
      <c r="H4" s="19">
        <f t="shared" si="3"/>
        <v>6.2365491146695256</v>
      </c>
      <c r="I4" s="18">
        <f t="shared" si="0"/>
        <v>-0.32733010399776485</v>
      </c>
      <c r="J4" s="234">
        <f t="shared" si="2"/>
        <v>8.9798958611103679</v>
      </c>
      <c r="K4" s="18">
        <f t="shared" si="1"/>
        <v>-0.30549872614019669</v>
      </c>
      <c r="L4" s="14" t="s">
        <v>471</v>
      </c>
      <c r="M4" s="37" t="s">
        <v>472</v>
      </c>
      <c r="N4" s="23"/>
    </row>
    <row r="5" spans="1:14" s="2" customFormat="1" x14ac:dyDescent="0.25">
      <c r="A5" s="36" t="s">
        <v>6</v>
      </c>
      <c r="B5" s="14"/>
      <c r="C5" s="15" t="s">
        <v>35</v>
      </c>
      <c r="D5" s="30">
        <v>1471.2246696035243</v>
      </c>
      <c r="E5" s="20">
        <v>1740.1982378854625</v>
      </c>
      <c r="F5" s="20">
        <v>2534.8017621145373</v>
      </c>
      <c r="G5" s="20">
        <v>3249.603524229075</v>
      </c>
      <c r="H5" s="20">
        <v>1414.4493392070485</v>
      </c>
      <c r="I5" s="18">
        <f t="shared" si="0"/>
        <v>-0.56473171922023702</v>
      </c>
      <c r="J5" s="152">
        <f t="shared" si="2"/>
        <v>2082.0555066079296</v>
      </c>
      <c r="K5" s="18">
        <f t="shared" si="1"/>
        <v>-0.32064763176681121</v>
      </c>
      <c r="L5" s="14" t="s">
        <v>471</v>
      </c>
      <c r="M5" s="37" t="s">
        <v>472</v>
      </c>
      <c r="N5" s="23"/>
    </row>
    <row r="6" spans="1:14" s="2" customFormat="1" x14ac:dyDescent="0.25">
      <c r="A6" s="36" t="s">
        <v>7</v>
      </c>
      <c r="B6" s="14"/>
      <c r="C6" s="16" t="s">
        <v>29</v>
      </c>
      <c r="D6" s="30">
        <v>450.70396</v>
      </c>
      <c r="E6" s="21">
        <v>514.47506999999996</v>
      </c>
      <c r="F6" s="21">
        <v>578.92718000000002</v>
      </c>
      <c r="G6" s="21">
        <v>597.23018999999988</v>
      </c>
      <c r="H6" s="21">
        <v>642.96388000000002</v>
      </c>
      <c r="I6" s="22">
        <f t="shared" si="0"/>
        <v>7.6576319760392808E-2</v>
      </c>
      <c r="J6" s="151">
        <f t="shared" si="2"/>
        <v>556.86005599999987</v>
      </c>
      <c r="K6" s="22">
        <f t="shared" si="1"/>
        <v>0.15462381090591304</v>
      </c>
      <c r="L6" s="43" t="s">
        <v>473</v>
      </c>
      <c r="M6" s="44" t="s">
        <v>474</v>
      </c>
      <c r="N6" s="23"/>
    </row>
    <row r="7" spans="1:14" s="2" customFormat="1" x14ac:dyDescent="0.25">
      <c r="A7" s="324" t="s">
        <v>587</v>
      </c>
      <c r="B7" s="24" t="s">
        <v>8</v>
      </c>
      <c r="C7" s="16" t="s">
        <v>11</v>
      </c>
      <c r="D7" s="236">
        <v>676.08422399999995</v>
      </c>
      <c r="E7" s="237">
        <v>592.83520999999996</v>
      </c>
      <c r="F7" s="237">
        <v>731.67857700000002</v>
      </c>
      <c r="G7" s="237">
        <v>177.05171200000001</v>
      </c>
      <c r="H7" s="238" t="s">
        <v>93</v>
      </c>
      <c r="I7" s="87" t="str">
        <f t="shared" si="0"/>
        <v>N/A</v>
      </c>
      <c r="J7" s="156">
        <f>IF(ISBLANK(H7),"",IF(ISNA(AVERAGE(D7:H7)),"N/A",IF(ISERROR(AVERAGE(D7:H7)),"N/A",AVERAGE(D7:H7))))</f>
        <v>544.41243075</v>
      </c>
      <c r="K7" s="87" t="str">
        <f t="shared" si="1"/>
        <v>N/A</v>
      </c>
      <c r="L7" s="14" t="s">
        <v>469</v>
      </c>
      <c r="M7" s="16" t="s">
        <v>470</v>
      </c>
      <c r="N7" s="49"/>
    </row>
    <row r="8" spans="1:14" s="2" customFormat="1" x14ac:dyDescent="0.25">
      <c r="A8" s="324"/>
      <c r="B8" s="26" t="s">
        <v>431</v>
      </c>
      <c r="C8" s="16" t="s">
        <v>11</v>
      </c>
      <c r="D8" s="236">
        <v>384.84454299999999</v>
      </c>
      <c r="E8" s="237">
        <v>334.690358</v>
      </c>
      <c r="F8" s="237">
        <v>228.01945599999999</v>
      </c>
      <c r="G8" s="237">
        <v>62.022759999999998</v>
      </c>
      <c r="H8" s="238" t="s">
        <v>93</v>
      </c>
      <c r="I8" s="87" t="str">
        <f t="shared" si="0"/>
        <v>N/A</v>
      </c>
      <c r="J8" s="156">
        <f t="shared" si="2"/>
        <v>252.39427924999998</v>
      </c>
      <c r="K8" s="87" t="str">
        <f t="shared" si="1"/>
        <v>N/A</v>
      </c>
      <c r="L8" s="14" t="s">
        <v>469</v>
      </c>
      <c r="M8" s="16" t="s">
        <v>470</v>
      </c>
      <c r="N8" s="49"/>
    </row>
    <row r="9" spans="1:14" s="2" customFormat="1" x14ac:dyDescent="0.25">
      <c r="A9" s="324"/>
      <c r="B9" s="26" t="s">
        <v>437</v>
      </c>
      <c r="C9" s="16" t="s">
        <v>11</v>
      </c>
      <c r="D9" s="236">
        <v>21.603069999999999</v>
      </c>
      <c r="E9" s="237">
        <v>17.920755</v>
      </c>
      <c r="F9" s="237">
        <v>83.618769</v>
      </c>
      <c r="G9" s="237">
        <v>25.63814</v>
      </c>
      <c r="H9" s="238" t="s">
        <v>93</v>
      </c>
      <c r="I9" s="87" t="str">
        <f t="shared" si="0"/>
        <v>N/A</v>
      </c>
      <c r="J9" s="156">
        <f t="shared" si="2"/>
        <v>37.195183499999999</v>
      </c>
      <c r="K9" s="87" t="str">
        <f t="shared" si="1"/>
        <v>N/A</v>
      </c>
      <c r="L9" s="14" t="s">
        <v>469</v>
      </c>
      <c r="M9" s="16" t="s">
        <v>470</v>
      </c>
      <c r="N9" s="49"/>
    </row>
    <row r="10" spans="1:14" s="2" customFormat="1" x14ac:dyDescent="0.25">
      <c r="A10" s="324"/>
      <c r="B10" s="26" t="s">
        <v>430</v>
      </c>
      <c r="C10" s="16" t="s">
        <v>11</v>
      </c>
      <c r="D10" s="236">
        <v>68.038286999999997</v>
      </c>
      <c r="E10" s="237">
        <v>81.643620999999996</v>
      </c>
      <c r="F10" s="237">
        <v>99.741693999999995</v>
      </c>
      <c r="G10" s="237">
        <v>23.827693</v>
      </c>
      <c r="H10" s="238" t="s">
        <v>93</v>
      </c>
      <c r="I10" s="87" t="str">
        <f t="shared" si="0"/>
        <v>N/A</v>
      </c>
      <c r="J10" s="156">
        <f t="shared" si="2"/>
        <v>68.312823749999993</v>
      </c>
      <c r="K10" s="87" t="str">
        <f t="shared" si="1"/>
        <v>N/A</v>
      </c>
      <c r="L10" s="14" t="s">
        <v>469</v>
      </c>
      <c r="M10" s="16" t="s">
        <v>470</v>
      </c>
      <c r="N10" s="49"/>
    </row>
    <row r="11" spans="1:14" s="2" customFormat="1" x14ac:dyDescent="0.25">
      <c r="A11" s="36" t="s">
        <v>10</v>
      </c>
      <c r="B11" s="24" t="s">
        <v>8</v>
      </c>
      <c r="C11" s="16" t="s">
        <v>11</v>
      </c>
      <c r="D11" s="237">
        <v>6.9431999999999994E-2</v>
      </c>
      <c r="E11" s="237">
        <v>8.1328999999999999E-2</v>
      </c>
      <c r="F11" s="237">
        <v>8.2172999999999996E-2</v>
      </c>
      <c r="G11" s="237">
        <v>4.5973E-2</v>
      </c>
      <c r="H11" s="237">
        <v>4.6691000000000003E-2</v>
      </c>
      <c r="I11" s="87">
        <f t="shared" si="0"/>
        <v>1.5617862658517057E-2</v>
      </c>
      <c r="J11" s="156">
        <f t="shared" si="2"/>
        <v>6.5119599999999986E-2</v>
      </c>
      <c r="K11" s="87">
        <f t="shared" si="1"/>
        <v>-0.28299621005043007</v>
      </c>
      <c r="L11" s="14" t="s">
        <v>469</v>
      </c>
      <c r="M11" s="16" t="s">
        <v>470</v>
      </c>
      <c r="N11" s="49"/>
    </row>
    <row r="12" spans="1:14" s="2" customFormat="1" ht="15.75" x14ac:dyDescent="0.25">
      <c r="A12" s="226" t="s">
        <v>533</v>
      </c>
      <c r="B12" s="122" t="s">
        <v>8</v>
      </c>
      <c r="C12" s="55" t="s">
        <v>11</v>
      </c>
      <c r="D12" s="239">
        <f t="shared" ref="D12:G12" si="4">D7-D11</f>
        <v>676.01479199999994</v>
      </c>
      <c r="E12" s="240">
        <f t="shared" si="4"/>
        <v>592.75388099999998</v>
      </c>
      <c r="F12" s="240">
        <f t="shared" si="4"/>
        <v>731.59640400000001</v>
      </c>
      <c r="G12" s="240">
        <f t="shared" si="4"/>
        <v>177.00573900000001</v>
      </c>
      <c r="H12" s="241" t="s">
        <v>93</v>
      </c>
      <c r="I12" s="89" t="str">
        <f t="shared" si="0"/>
        <v>N/A</v>
      </c>
      <c r="J12" s="220">
        <f t="shared" si="2"/>
        <v>544.34270400000003</v>
      </c>
      <c r="K12" s="89" t="str">
        <f t="shared" si="1"/>
        <v>N/A</v>
      </c>
      <c r="L12" s="58" t="s">
        <v>469</v>
      </c>
      <c r="M12" s="55" t="s">
        <v>470</v>
      </c>
      <c r="N12" s="49"/>
    </row>
    <row r="13" spans="1:14" x14ac:dyDescent="0.25">
      <c r="A13" s="53" t="s">
        <v>80</v>
      </c>
      <c r="D13" s="45"/>
      <c r="E13" s="45"/>
      <c r="F13" s="54"/>
      <c r="G13" s="54"/>
      <c r="H13" s="54"/>
      <c r="I13" s="54"/>
      <c r="J13" s="54"/>
    </row>
    <row r="14" spans="1:14" ht="17.25" x14ac:dyDescent="0.25">
      <c r="A14" s="81" t="s">
        <v>519</v>
      </c>
      <c r="D14" s="45"/>
      <c r="E14" s="45"/>
      <c r="F14" s="54"/>
      <c r="G14" s="54"/>
      <c r="H14" s="54"/>
      <c r="I14" s="54"/>
      <c r="J14" s="54"/>
    </row>
    <row r="15" spans="1:14" ht="17.25" x14ac:dyDescent="0.25">
      <c r="A15" s="81" t="s">
        <v>532</v>
      </c>
      <c r="D15" s="45"/>
      <c r="E15" s="45"/>
      <c r="F15" s="54"/>
      <c r="G15" s="13"/>
      <c r="H15" s="13"/>
      <c r="I15" s="54"/>
      <c r="J15" s="54"/>
    </row>
    <row r="16" spans="1:14" ht="17.25" x14ac:dyDescent="0.25">
      <c r="A16" s="49" t="s">
        <v>521</v>
      </c>
      <c r="D16" s="4"/>
      <c r="E16" s="4"/>
      <c r="F16" s="13"/>
      <c r="G16" s="13"/>
      <c r="H16" s="13"/>
      <c r="I16" s="13"/>
      <c r="J16" s="13"/>
    </row>
    <row r="17" spans="1:1" ht="17.25" x14ac:dyDescent="0.25">
      <c r="A17" s="12" t="s">
        <v>525</v>
      </c>
    </row>
  </sheetData>
  <mergeCells count="1">
    <mergeCell ref="A7:A10"/>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N16"/>
  <sheetViews>
    <sheetView workbookViewId="0"/>
  </sheetViews>
  <sheetFormatPr defaultColWidth="9.140625" defaultRowHeight="15" x14ac:dyDescent="0.25"/>
  <cols>
    <col min="1" max="1" width="19" style="49" bestFit="1" customWidth="1"/>
    <col min="2" max="2" width="12.5703125" style="49" bestFit="1" customWidth="1"/>
    <col min="3" max="3" width="24.42578125" style="49" bestFit="1" customWidth="1"/>
    <col min="4" max="6" width="10.5703125" style="49" bestFit="1" customWidth="1"/>
    <col min="7" max="7" width="10.7109375" style="49" bestFit="1" customWidth="1"/>
    <col min="8" max="8" width="10.7109375" style="49" customWidth="1"/>
    <col min="9" max="10" width="17.7109375" style="49" customWidth="1"/>
    <col min="11" max="11" width="16.85546875" style="9" bestFit="1" customWidth="1"/>
    <col min="12" max="12" width="23.7109375" style="49" customWidth="1"/>
    <col min="13" max="13" width="124.5703125" style="49" bestFit="1" customWidth="1"/>
    <col min="14" max="14" width="34.7109375" style="49" customWidth="1"/>
    <col min="15" max="16384" width="9.140625" style="2"/>
  </cols>
  <sheetData>
    <row r="1" spans="1:14" s="59" customFormat="1" ht="30" x14ac:dyDescent="0.25">
      <c r="A1" s="38" t="s">
        <v>0</v>
      </c>
      <c r="B1" s="39" t="s">
        <v>9</v>
      </c>
      <c r="C1" s="40" t="s">
        <v>1</v>
      </c>
      <c r="D1" s="34" t="str">
        <f>+'Output Table'!C1</f>
        <v>2014-15</v>
      </c>
      <c r="E1" s="34" t="str">
        <f>+'Output Table'!D1</f>
        <v>2015-16</v>
      </c>
      <c r="F1" s="34" t="str">
        <f>+'Output Table'!E1</f>
        <v>2016-17</v>
      </c>
      <c r="G1" s="34" t="str">
        <f>+'Output Table'!F1</f>
        <v>2017-18</v>
      </c>
      <c r="H1" s="34" t="str">
        <f>+'Output Table'!G1</f>
        <v>2018-19e</v>
      </c>
      <c r="I1" s="39" t="s">
        <v>136</v>
      </c>
      <c r="J1" s="39" t="s">
        <v>428</v>
      </c>
      <c r="K1" s="41" t="s">
        <v>422</v>
      </c>
      <c r="L1" s="39" t="s">
        <v>15</v>
      </c>
      <c r="M1" s="40" t="s">
        <v>16</v>
      </c>
      <c r="N1" s="42" t="s">
        <v>17</v>
      </c>
    </row>
    <row r="2" spans="1:14" ht="15.75" customHeight="1" x14ac:dyDescent="0.25">
      <c r="A2" s="36" t="s">
        <v>5</v>
      </c>
      <c r="B2" s="14"/>
      <c r="C2" s="16" t="s">
        <v>11</v>
      </c>
      <c r="D2" s="29">
        <v>56.974216149999997</v>
      </c>
      <c r="E2" s="17">
        <v>74.410958989999997</v>
      </c>
      <c r="F2" s="17">
        <v>97.194976199999999</v>
      </c>
      <c r="G2" s="17">
        <v>85.097000010000002</v>
      </c>
      <c r="H2" s="60">
        <v>80.054141186326916</v>
      </c>
      <c r="I2" s="22">
        <f t="shared" ref="I2:I12" si="0">IF(ISBLANK(H2),"N/A",IF(ISNA(H2/G2-1),"N/A",IF(ISERROR(H2/G2-1),"N/A",H2/G2-1)))</f>
        <v>-5.9260124599932795E-2</v>
      </c>
      <c r="J2" s="151">
        <f>IF(ISBLANK(H2),"",IF(ISNA(AVERAGE(D2:H2)),"N/A",IF(ISERROR(AVERAGE(D2:H2)),"N/A",AVERAGE(D2:H2))))</f>
        <v>78.746258507265381</v>
      </c>
      <c r="K2" s="22">
        <f t="shared" ref="K2:K12" si="1">IF(ISBLANK(H2),"",IF(ISNA(H2/AVERAGE(D2:H2)-1),"N/A",IF(ISERROR(H2/AVERAGE(D2:H2)-1),"N/A",H2/AVERAGE(D2:H2)-1)))</f>
        <v>1.6608823121937455E-2</v>
      </c>
      <c r="L2" s="14" t="s">
        <v>485</v>
      </c>
      <c r="M2" s="169" t="s">
        <v>484</v>
      </c>
      <c r="N2" s="49" t="s">
        <v>511</v>
      </c>
    </row>
    <row r="3" spans="1:14" x14ac:dyDescent="0.25">
      <c r="A3" s="36" t="s">
        <v>20</v>
      </c>
      <c r="B3" s="24"/>
      <c r="C3" s="15" t="s">
        <v>22</v>
      </c>
      <c r="D3" s="30">
        <v>14.461</v>
      </c>
      <c r="E3" s="21">
        <v>15.936999999999999</v>
      </c>
      <c r="F3" s="21">
        <v>16.062999999999999</v>
      </c>
      <c r="G3" s="21">
        <v>15.558</v>
      </c>
      <c r="H3" s="21">
        <v>16.207999999999998</v>
      </c>
      <c r="I3" s="22">
        <f t="shared" si="0"/>
        <v>4.1779148990872761E-2</v>
      </c>
      <c r="J3" s="151">
        <f t="shared" ref="J3:J12" si="2">IF(ISBLANK(H3),"",IF(ISNA(AVERAGE(D3:H3)),"N/A",IF(ISERROR(AVERAGE(D3:H3)),"N/A",AVERAGE(D3:H3))))</f>
        <v>15.6454</v>
      </c>
      <c r="K3" s="22">
        <f t="shared" si="1"/>
        <v>3.5959451340329851E-2</v>
      </c>
      <c r="L3" s="43" t="s">
        <v>505</v>
      </c>
      <c r="M3" s="44" t="s">
        <v>506</v>
      </c>
      <c r="N3" s="7"/>
    </row>
    <row r="4" spans="1:14" x14ac:dyDescent="0.25">
      <c r="A4" s="36" t="s">
        <v>21</v>
      </c>
      <c r="B4" s="24"/>
      <c r="C4" s="16" t="s">
        <v>32</v>
      </c>
      <c r="D4" s="30">
        <f t="shared" ref="D4:G4" si="3">D5/D3</f>
        <v>106.75257589378327</v>
      </c>
      <c r="E4" s="21">
        <f t="shared" si="3"/>
        <v>136.36142310346992</v>
      </c>
      <c r="F4" s="21">
        <f t="shared" si="3"/>
        <v>130.79001431862045</v>
      </c>
      <c r="G4" s="21">
        <f t="shared" si="3"/>
        <v>120.70960277670652</v>
      </c>
      <c r="H4" s="21">
        <f>H5/H3</f>
        <v>123.60494817374136</v>
      </c>
      <c r="I4" s="22">
        <f t="shared" si="0"/>
        <v>2.3986040301953171E-2</v>
      </c>
      <c r="J4" s="151">
        <f t="shared" si="2"/>
        <v>123.64371285326429</v>
      </c>
      <c r="K4" s="22">
        <f t="shared" si="1"/>
        <v>-3.1351921281219663E-4</v>
      </c>
      <c r="L4" s="43" t="s">
        <v>505</v>
      </c>
      <c r="M4" s="44" t="s">
        <v>506</v>
      </c>
      <c r="N4" s="7"/>
    </row>
    <row r="5" spans="1:14" x14ac:dyDescent="0.25">
      <c r="A5" s="36" t="s">
        <v>6</v>
      </c>
      <c r="B5" s="14"/>
      <c r="C5" s="15" t="s">
        <v>33</v>
      </c>
      <c r="D5" s="30">
        <v>1543.749</v>
      </c>
      <c r="E5" s="21">
        <v>2173.192</v>
      </c>
      <c r="F5" s="21">
        <v>2100.88</v>
      </c>
      <c r="G5" s="21">
        <v>1878</v>
      </c>
      <c r="H5" s="21">
        <v>2003.3889999999999</v>
      </c>
      <c r="I5" s="22">
        <f t="shared" si="0"/>
        <v>6.6767305644302333E-2</v>
      </c>
      <c r="J5" s="151">
        <f t="shared" si="2"/>
        <v>1939.8419999999999</v>
      </c>
      <c r="K5" s="22">
        <f t="shared" si="1"/>
        <v>3.2758853556114298E-2</v>
      </c>
      <c r="L5" s="43" t="s">
        <v>505</v>
      </c>
      <c r="M5" s="44" t="s">
        <v>506</v>
      </c>
      <c r="N5" s="7"/>
    </row>
    <row r="6" spans="1:14" x14ac:dyDescent="0.25">
      <c r="A6" s="36" t="s">
        <v>7</v>
      </c>
      <c r="B6" s="14"/>
      <c r="C6" s="16" t="s">
        <v>13</v>
      </c>
      <c r="D6" s="30">
        <v>40.292999999999999</v>
      </c>
      <c r="E6" s="21">
        <v>37.299999999999997</v>
      </c>
      <c r="F6" s="21">
        <v>44.430999999999997</v>
      </c>
      <c r="G6" s="21">
        <v>39.378999999999998</v>
      </c>
      <c r="H6" s="21">
        <v>35.128999999999998</v>
      </c>
      <c r="I6" s="22">
        <f t="shared" si="0"/>
        <v>-0.1079255440717134</v>
      </c>
      <c r="J6" s="151">
        <f t="shared" si="2"/>
        <v>39.306399999999996</v>
      </c>
      <c r="K6" s="22">
        <f t="shared" si="1"/>
        <v>-0.10627785805873846</v>
      </c>
      <c r="L6" s="43" t="s">
        <v>473</v>
      </c>
      <c r="M6" s="44" t="s">
        <v>474</v>
      </c>
      <c r="N6" s="32"/>
    </row>
    <row r="7" spans="1:14" x14ac:dyDescent="0.25">
      <c r="A7" s="324" t="s">
        <v>14</v>
      </c>
      <c r="B7" s="24" t="s">
        <v>8</v>
      </c>
      <c r="C7" s="16" t="s">
        <v>11</v>
      </c>
      <c r="D7" s="31">
        <v>2.3227129999999998</v>
      </c>
      <c r="E7" s="25">
        <v>3.0807470000000001</v>
      </c>
      <c r="F7" s="19">
        <v>3.2253769999999999</v>
      </c>
      <c r="G7" s="19">
        <v>1.589742</v>
      </c>
      <c r="H7" s="19">
        <v>1.9252739999999999</v>
      </c>
      <c r="I7" s="18">
        <f t="shared" si="0"/>
        <v>0.21106066267356582</v>
      </c>
      <c r="J7" s="234">
        <f t="shared" si="2"/>
        <v>2.4287706</v>
      </c>
      <c r="K7" s="18">
        <f t="shared" si="1"/>
        <v>-0.20730512795238876</v>
      </c>
      <c r="L7" s="14" t="s">
        <v>469</v>
      </c>
      <c r="M7" s="16" t="s">
        <v>470</v>
      </c>
      <c r="N7" s="48"/>
    </row>
    <row r="8" spans="1:14" x14ac:dyDescent="0.25">
      <c r="A8" s="324"/>
      <c r="B8" s="26" t="s">
        <v>434</v>
      </c>
      <c r="C8" s="16" t="s">
        <v>11</v>
      </c>
      <c r="D8" s="31">
        <v>0.283725</v>
      </c>
      <c r="E8" s="25">
        <v>0.124074</v>
      </c>
      <c r="F8" s="19">
        <v>0.13613900000000001</v>
      </c>
      <c r="G8" s="19">
        <v>4.8055E-2</v>
      </c>
      <c r="H8" s="19">
        <v>0.67896599999999996</v>
      </c>
      <c r="I8" s="18">
        <f t="shared" si="0"/>
        <v>13.128935594631152</v>
      </c>
      <c r="J8" s="234">
        <f t="shared" si="2"/>
        <v>0.25419179999999997</v>
      </c>
      <c r="K8" s="18">
        <f t="shared" si="1"/>
        <v>1.6710775091879442</v>
      </c>
      <c r="L8" s="14" t="s">
        <v>469</v>
      </c>
      <c r="M8" s="16" t="s">
        <v>470</v>
      </c>
      <c r="N8" s="48"/>
    </row>
    <row r="9" spans="1:14" x14ac:dyDescent="0.25">
      <c r="A9" s="324"/>
      <c r="B9" s="26" t="s">
        <v>435</v>
      </c>
      <c r="C9" s="16" t="s">
        <v>11</v>
      </c>
      <c r="D9" s="31">
        <v>0.42080699999999999</v>
      </c>
      <c r="E9" s="25">
        <v>1.632233</v>
      </c>
      <c r="F9" s="19">
        <v>1.400142</v>
      </c>
      <c r="G9" s="19">
        <v>0.34904499999999999</v>
      </c>
      <c r="H9" s="19">
        <v>0.35948400000000003</v>
      </c>
      <c r="I9" s="18">
        <f t="shared" si="0"/>
        <v>2.9907318540589367E-2</v>
      </c>
      <c r="J9" s="234">
        <f t="shared" si="2"/>
        <v>0.83234219999999992</v>
      </c>
      <c r="K9" s="18">
        <f t="shared" si="1"/>
        <v>-0.5681055219836264</v>
      </c>
      <c r="L9" s="14" t="s">
        <v>469</v>
      </c>
      <c r="M9" s="16" t="s">
        <v>470</v>
      </c>
      <c r="N9" s="48"/>
    </row>
    <row r="10" spans="1:14" x14ac:dyDescent="0.25">
      <c r="A10" s="324"/>
      <c r="B10" s="26" t="s">
        <v>440</v>
      </c>
      <c r="C10" s="16" t="s">
        <v>11</v>
      </c>
      <c r="D10" s="31">
        <v>1.9900000000000001E-4</v>
      </c>
      <c r="E10" s="25">
        <v>9.8286999999999999E-2</v>
      </c>
      <c r="F10" s="19">
        <v>0.260494</v>
      </c>
      <c r="G10" s="19">
        <v>0.54203500000000004</v>
      </c>
      <c r="H10" s="19">
        <v>0.32985599999999998</v>
      </c>
      <c r="I10" s="18">
        <f t="shared" si="0"/>
        <v>-0.3914488916767368</v>
      </c>
      <c r="J10" s="234">
        <f t="shared" si="2"/>
        <v>0.24617420000000001</v>
      </c>
      <c r="K10" s="18">
        <f t="shared" si="1"/>
        <v>0.3399292046038942</v>
      </c>
      <c r="L10" s="14" t="s">
        <v>469</v>
      </c>
      <c r="M10" s="16" t="s">
        <v>470</v>
      </c>
      <c r="N10" s="48"/>
    </row>
    <row r="11" spans="1:14" x14ac:dyDescent="0.25">
      <c r="A11" s="36" t="s">
        <v>10</v>
      </c>
      <c r="B11" s="24" t="s">
        <v>8</v>
      </c>
      <c r="C11" s="16" t="s">
        <v>11</v>
      </c>
      <c r="D11" s="165">
        <v>6.626214</v>
      </c>
      <c r="E11" s="165">
        <v>5.066211</v>
      </c>
      <c r="F11" s="165">
        <v>4.9748000000000001</v>
      </c>
      <c r="G11" s="165">
        <v>4.779217</v>
      </c>
      <c r="H11" s="165">
        <v>3.813806</v>
      </c>
      <c r="I11" s="18">
        <f t="shared" si="0"/>
        <v>-0.2020019178873862</v>
      </c>
      <c r="J11" s="234">
        <f t="shared" si="2"/>
        <v>5.0520496000000001</v>
      </c>
      <c r="K11" s="18">
        <f t="shared" si="1"/>
        <v>-0.24509727695468386</v>
      </c>
      <c r="L11" s="14" t="s">
        <v>469</v>
      </c>
      <c r="M11" s="16" t="s">
        <v>470</v>
      </c>
      <c r="N11" s="48"/>
    </row>
    <row r="12" spans="1:14" ht="15.75" x14ac:dyDescent="0.25">
      <c r="A12" s="226" t="s">
        <v>533</v>
      </c>
      <c r="B12" s="122" t="s">
        <v>8</v>
      </c>
      <c r="C12" s="55" t="s">
        <v>11</v>
      </c>
      <c r="D12" s="321">
        <f t="shared" ref="D12:H12" si="4">D7-D11</f>
        <v>-4.3035010000000007</v>
      </c>
      <c r="E12" s="322">
        <f t="shared" si="4"/>
        <v>-1.9854639999999999</v>
      </c>
      <c r="F12" s="222">
        <f t="shared" si="4"/>
        <v>-1.7494230000000002</v>
      </c>
      <c r="G12" s="222">
        <f t="shared" si="4"/>
        <v>-3.1894749999999998</v>
      </c>
      <c r="H12" s="222">
        <f t="shared" si="4"/>
        <v>-1.8885320000000001</v>
      </c>
      <c r="I12" s="57">
        <f t="shared" si="0"/>
        <v>-0.40788625087200869</v>
      </c>
      <c r="J12" s="235">
        <f t="shared" si="2"/>
        <v>-2.6232790000000001</v>
      </c>
      <c r="K12" s="57">
        <f t="shared" si="1"/>
        <v>-0.28008724958344122</v>
      </c>
      <c r="L12" s="58" t="s">
        <v>469</v>
      </c>
      <c r="M12" s="55" t="s">
        <v>470</v>
      </c>
      <c r="N12" s="48"/>
    </row>
    <row r="13" spans="1:14" x14ac:dyDescent="0.25">
      <c r="A13" s="28" t="s">
        <v>80</v>
      </c>
      <c r="K13" s="49"/>
    </row>
    <row r="14" spans="1:14" ht="17.25" x14ac:dyDescent="0.25">
      <c r="A14" s="81" t="s">
        <v>519</v>
      </c>
    </row>
    <row r="15" spans="1:14" ht="17.25" x14ac:dyDescent="0.25">
      <c r="A15" s="81" t="s">
        <v>532</v>
      </c>
    </row>
    <row r="16" spans="1:14" ht="17.25" x14ac:dyDescent="0.25">
      <c r="A16" s="49" t="s">
        <v>521</v>
      </c>
    </row>
  </sheetData>
  <mergeCells count="1">
    <mergeCell ref="A7:A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25BA0CDD-6959-4182-A4DE-2185732F9CC5}">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Cover Sheet</vt:lpstr>
      <vt:lpstr>Wheat</vt:lpstr>
      <vt:lpstr>Barley</vt:lpstr>
      <vt:lpstr>Rice</vt:lpstr>
      <vt:lpstr>Sorghum</vt:lpstr>
      <vt:lpstr>Pulses</vt:lpstr>
      <vt:lpstr>Oilseeds</vt:lpstr>
      <vt:lpstr>Cotton Lint</vt:lpstr>
      <vt:lpstr>Sugar Cane</vt:lpstr>
      <vt:lpstr>Horticulture</vt:lpstr>
      <vt:lpstr>Wine</vt:lpstr>
      <vt:lpstr>Beef</vt:lpstr>
      <vt:lpstr>Sheep Meat</vt:lpstr>
      <vt:lpstr>Goat Meat</vt:lpstr>
      <vt:lpstr>Pork</vt:lpstr>
      <vt:lpstr>Poultry</vt:lpstr>
      <vt:lpstr>Wool</vt:lpstr>
      <vt:lpstr>Eggs</vt:lpstr>
      <vt:lpstr>Milk</vt:lpstr>
      <vt:lpstr>Forestry</vt:lpstr>
      <vt:lpstr>Fisheries</vt:lpstr>
      <vt:lpstr>Other Crops</vt:lpstr>
      <vt:lpstr>Output Table</vt:lpstr>
      <vt:lpstr>Production Table</vt:lpstr>
      <vt:lpstr>Prices Table</vt:lpstr>
      <vt:lpstr>Exports Table</vt:lpstr>
      <vt:lpstr>Imports Trade Bal. Tables</vt:lpstr>
      <vt:lpstr>Jobs &amp; Businesses</vt:lpstr>
      <vt:lpstr>Consolidated Footnotes</vt:lpstr>
      <vt:lpstr>Consolidated Sources</vt:lpstr>
      <vt:lpstr>EndNotes</vt:lpstr>
    </vt:vector>
  </TitlesOfParts>
  <Company>NSW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Rollin</dc:creator>
  <cp:lastModifiedBy>Michael Rollin</cp:lastModifiedBy>
  <cp:lastPrinted>2019-10-17T23:55:59Z</cp:lastPrinted>
  <dcterms:created xsi:type="dcterms:W3CDTF">2017-05-24T03:27:22Z</dcterms:created>
  <dcterms:modified xsi:type="dcterms:W3CDTF">2019-11-14T05:59:08Z</dcterms:modified>
</cp:coreProperties>
</file>